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ers\usuario\Desktop\CONTADURÍA 2020\PLIEGOS\LICITACIONES PÚBLICAS\"/>
    </mc:Choice>
  </mc:AlternateContent>
  <bookViews>
    <workbookView xWindow="0" yWindow="0" windowWidth="11490" windowHeight="4635" tabRatio="855" activeTab="1"/>
  </bookViews>
  <sheets>
    <sheet name="Instrucciones" sheetId="25" r:id="rId1"/>
    <sheet name="Datos" sheetId="15" r:id="rId2"/>
    <sheet name="Propuesta" sheetId="18" r:id="rId3"/>
    <sheet name="CyP" sheetId="2" r:id="rId4"/>
    <sheet name="AP" sheetId="6" r:id="rId5"/>
    <sheet name="PTyCI" sheetId="9" r:id="rId6"/>
    <sheet name="Insumos" sheetId="14" r:id="rId7"/>
    <sheet name="Equipos" sheetId="22" r:id="rId8"/>
    <sheet name="Rendimiento Equipo" sheetId="23" r:id="rId9"/>
    <sheet name="Avance Obra" sheetId="4" r:id="rId10"/>
    <sheet name="Curva Inversiones" sheetId="5" r:id="rId11"/>
    <sheet name="Gastos Generales" sheetId="8" r:id="rId12"/>
    <sheet name="Coef-Equipos" sheetId="19" r:id="rId13"/>
    <sheet name="Transp. Camión Solo" sheetId="20" r:id="rId14"/>
    <sheet name="Transp. Camión con Acoplado" sheetId="21" r:id="rId15"/>
    <sheet name="Indices" sheetId="24" r:id="rId16"/>
    <sheet name="Items - Códigos" sheetId="12" r:id="rId17"/>
  </sheets>
  <functionGroups builtInGroupCount="18"/>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AP!$A$1:$A$2263</definedName>
    <definedName name="_xlnm._FilterDatabase" localSheetId="12" hidden="1">'Coef-Equipos'!$C$1:$C$68</definedName>
    <definedName name="_xlnm._FilterDatabase" localSheetId="3" hidden="1">CyP!$A$1:$A$98</definedName>
    <definedName name="_xlnm._FilterDatabase" localSheetId="1" hidden="1">Datos!#REF!</definedName>
    <definedName name="_xlnm._FilterDatabase" localSheetId="2" hidden="1">Propuesta!#REF!</definedName>
    <definedName name="_xlnm._FilterDatabase" localSheetId="5" hidden="1">PTyCI!$D$1:$D$90</definedName>
    <definedName name="A" localSheetId="14">'Transp. Camión con Acoplado'!$O$4</definedName>
    <definedName name="A" localSheetId="13">'Transp. Camión Solo'!$O$4</definedName>
    <definedName name="Anticipo_Financiero">Datos!$C$12</definedName>
    <definedName name="_xlnm.Print_Area" localSheetId="4">AP!$A$1:$G$4063</definedName>
    <definedName name="_xlnm.Print_Area" localSheetId="3">CyP!$A$17:$M$98</definedName>
    <definedName name="_xlnm.Print_Area" localSheetId="1">Datos!$B$1:$J$58</definedName>
    <definedName name="_xlnm.Print_Area" localSheetId="2">Propuesta!$A$1:$G$178</definedName>
    <definedName name="_xlnm.Print_Area" localSheetId="5">PTyCI!$A$10:$Y$87</definedName>
    <definedName name="B" localSheetId="14">'Transp. Camión con Acoplado'!$O$7</definedName>
    <definedName name="B" localSheetId="13">'Transp. Camión Solo'!$O$7</definedName>
    <definedName name="Beneficio">Datos!$C$27</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Datos!$C$30</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Datos!$C$21</definedName>
    <definedName name="Contratista_Caracter_F2">Datos!$C$24</definedName>
    <definedName name="Contratista_Firma1">Datos!$C$21</definedName>
    <definedName name="Contratista_Firma2">Datos!$C$23</definedName>
    <definedName name="Costo_de_cámaras_y_cubiertas_Camionetas" localSheetId="12">'Coef-Equipos'!$D$64</definedName>
    <definedName name="Costo_Financiero">Datos!$C$25</definedName>
    <definedName name="Costo_gasoil" localSheetId="14">'Transp. Camión con Acoplado'!$E$19</definedName>
    <definedName name="Costo_gasoil" localSheetId="13">'Transp. Camión Solo'!$E$19</definedName>
    <definedName name="Costo_Obra">CyP!$F$85</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Datos!$C$26</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Datos!$C$28</definedName>
    <definedName name="Interés_Anual" localSheetId="12">'Coef-Equipos'!$D$27</definedName>
    <definedName name="IVA">Datos!$C$29</definedName>
    <definedName name="Licitación_N°">Datos!$C$9</definedName>
    <definedName name="Mano_Obra_Lavado" localSheetId="14">'Transp. Camión con Acoplado'!$E$22</definedName>
    <definedName name="Mano_Obra_Lavado" localSheetId="13">'Transp. Camión Solo'!$E$22</definedName>
    <definedName name="Monto_Oferta">CyP!$H$85</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Datos!$2:$39</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6" i="15" l="1"/>
  <c r="A37" i="15"/>
  <c r="F4059" i="6"/>
  <c r="G4059" i="6" s="1"/>
  <c r="D4059" i="6"/>
  <c r="B4059" i="6"/>
  <c r="A4059" i="6"/>
  <c r="F4058" i="6"/>
  <c r="G4058" i="6" s="1"/>
  <c r="G4060" i="6" s="1"/>
  <c r="D4058" i="6"/>
  <c r="B4058" i="6"/>
  <c r="A4058" i="6"/>
  <c r="G4053" i="6"/>
  <c r="F4053" i="6"/>
  <c r="D4053" i="6"/>
  <c r="B4053" i="6"/>
  <c r="A4053" i="6"/>
  <c r="F4052" i="6"/>
  <c r="G4052" i="6" s="1"/>
  <c r="D4052" i="6"/>
  <c r="B4052" i="6"/>
  <c r="A4052" i="6"/>
  <c r="F4051" i="6"/>
  <c r="G4051" i="6" s="1"/>
  <c r="D4051" i="6"/>
  <c r="B4051" i="6"/>
  <c r="A4051" i="6"/>
  <c r="F4050" i="6"/>
  <c r="G4050" i="6" s="1"/>
  <c r="D4050" i="6"/>
  <c r="B4050" i="6"/>
  <c r="A4050" i="6"/>
  <c r="G4049" i="6"/>
  <c r="F4049" i="6"/>
  <c r="D4049" i="6"/>
  <c r="B4049" i="6"/>
  <c r="A4049" i="6"/>
  <c r="F4048" i="6"/>
  <c r="G4048" i="6" s="1"/>
  <c r="D4048" i="6"/>
  <c r="B4048" i="6"/>
  <c r="A4048" i="6"/>
  <c r="F4047" i="6"/>
  <c r="G4047" i="6" s="1"/>
  <c r="D4047" i="6"/>
  <c r="B4047" i="6"/>
  <c r="A4047" i="6"/>
  <c r="F4046" i="6"/>
  <c r="G4046" i="6" s="1"/>
  <c r="D4046" i="6"/>
  <c r="B4046" i="6"/>
  <c r="A4046" i="6"/>
  <c r="G4045" i="6"/>
  <c r="F4045" i="6"/>
  <c r="D4045" i="6"/>
  <c r="B4045" i="6"/>
  <c r="A4045" i="6"/>
  <c r="F4044" i="6"/>
  <c r="G4044" i="6" s="1"/>
  <c r="D4044" i="6"/>
  <c r="B4044" i="6"/>
  <c r="A4044" i="6"/>
  <c r="F4043" i="6"/>
  <c r="G4043" i="6" s="1"/>
  <c r="D4043" i="6"/>
  <c r="B4043" i="6"/>
  <c r="A4043" i="6"/>
  <c r="F4038" i="6"/>
  <c r="G4038" i="6" s="1"/>
  <c r="E4038" i="6"/>
  <c r="B4038" i="6"/>
  <c r="A4038" i="6"/>
  <c r="F4037" i="6"/>
  <c r="E4037" i="6"/>
  <c r="B4037" i="6"/>
  <c r="A4037" i="6"/>
  <c r="F4036" i="6"/>
  <c r="E4036" i="6"/>
  <c r="B4036" i="6"/>
  <c r="A4036" i="6"/>
  <c r="F4035" i="6"/>
  <c r="G4035" i="6" s="1"/>
  <c r="E4035" i="6"/>
  <c r="B4035" i="6"/>
  <c r="A4035" i="6"/>
  <c r="F4034" i="6"/>
  <c r="G4034" i="6" s="1"/>
  <c r="E4034" i="6"/>
  <c r="B4034" i="6"/>
  <c r="A4034" i="6"/>
  <c r="F4033" i="6"/>
  <c r="E4033" i="6"/>
  <c r="B4033" i="6"/>
  <c r="A4033" i="6"/>
  <c r="F4032" i="6"/>
  <c r="E4032" i="6"/>
  <c r="B4032" i="6"/>
  <c r="A4032" i="6"/>
  <c r="F4027" i="6"/>
  <c r="D4027" i="6"/>
  <c r="E4027" i="6" s="1"/>
  <c r="B4027" i="6"/>
  <c r="A4027" i="6"/>
  <c r="F4026" i="6"/>
  <c r="E4026" i="6"/>
  <c r="D4026" i="6"/>
  <c r="B4026" i="6"/>
  <c r="A4026" i="6"/>
  <c r="F4025" i="6"/>
  <c r="D4025" i="6"/>
  <c r="E4025" i="6" s="1"/>
  <c r="B4025" i="6"/>
  <c r="A4025" i="6"/>
  <c r="F4024" i="6"/>
  <c r="E4024" i="6"/>
  <c r="D4024" i="6"/>
  <c r="B4024" i="6"/>
  <c r="A4024" i="6"/>
  <c r="F4023" i="6"/>
  <c r="D4023" i="6"/>
  <c r="E4023" i="6" s="1"/>
  <c r="B4023" i="6"/>
  <c r="A4023" i="6"/>
  <c r="F4022" i="6"/>
  <c r="E4022" i="6"/>
  <c r="D4022" i="6"/>
  <c r="B4022" i="6"/>
  <c r="A4022" i="6"/>
  <c r="F4021" i="6"/>
  <c r="D4021" i="6"/>
  <c r="E4021" i="6" s="1"/>
  <c r="B4021" i="6"/>
  <c r="A4021" i="6"/>
  <c r="F4020" i="6"/>
  <c r="E4020" i="6"/>
  <c r="D4020" i="6"/>
  <c r="B4020" i="6"/>
  <c r="A4020" i="6"/>
  <c r="F4019" i="6"/>
  <c r="D4019" i="6"/>
  <c r="E4019" i="6" s="1"/>
  <c r="B4019" i="6"/>
  <c r="A4019" i="6"/>
  <c r="G4010" i="6"/>
  <c r="F4010" i="6"/>
  <c r="E4010" i="6"/>
  <c r="G4009" i="6"/>
  <c r="F4009" i="6"/>
  <c r="E4009" i="6"/>
  <c r="F4008" i="6"/>
  <c r="G4008" i="6" s="1"/>
  <c r="E4008" i="6"/>
  <c r="F4007" i="6"/>
  <c r="G4007" i="6" s="1"/>
  <c r="E4007" i="6"/>
  <c r="G4006" i="6"/>
  <c r="F4006" i="6"/>
  <c r="E4006" i="6"/>
  <c r="G4005" i="6"/>
  <c r="F4005" i="6"/>
  <c r="E4005" i="6"/>
  <c r="F4004" i="6"/>
  <c r="G4004" i="6" s="1"/>
  <c r="E4004" i="6"/>
  <c r="F4003" i="6"/>
  <c r="G4003" i="6" s="1"/>
  <c r="E4003" i="6"/>
  <c r="E4012" i="6" s="1"/>
  <c r="G4002" i="6"/>
  <c r="F4002" i="6"/>
  <c r="E4002" i="6"/>
  <c r="G4001" i="6"/>
  <c r="F4001" i="6"/>
  <c r="E4001" i="6"/>
  <c r="B3994" i="6"/>
  <c r="G3993" i="6"/>
  <c r="B3993" i="6"/>
  <c r="B3992" i="6"/>
  <c r="B3991" i="6"/>
  <c r="A80" i="9"/>
  <c r="G4019" i="6" l="1"/>
  <c r="G4024" i="6"/>
  <c r="G4025" i="6"/>
  <c r="G4026" i="6"/>
  <c r="G4027" i="6"/>
  <c r="G4032" i="6"/>
  <c r="G4033" i="6"/>
  <c r="G4020" i="6"/>
  <c r="G4021" i="6"/>
  <c r="G4036" i="6"/>
  <c r="G4037" i="6"/>
  <c r="G4022" i="6"/>
  <c r="G4023" i="6"/>
  <c r="G4054" i="6"/>
  <c r="G4012" i="6"/>
  <c r="A84" i="2"/>
  <c r="G4028" i="6" l="1"/>
  <c r="G4039" i="6"/>
  <c r="D84" i="2"/>
  <c r="E84" i="2"/>
  <c r="B84" i="2"/>
  <c r="F3984" i="6"/>
  <c r="G3984" i="6" s="1"/>
  <c r="D3984" i="6"/>
  <c r="B3984" i="6"/>
  <c r="A3984" i="6"/>
  <c r="F3983" i="6"/>
  <c r="G3983" i="6" s="1"/>
  <c r="D3983" i="6"/>
  <c r="B3983" i="6"/>
  <c r="A3983"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3" i="6"/>
  <c r="E3963" i="6"/>
  <c r="B3963" i="6"/>
  <c r="A3963" i="6"/>
  <c r="F3962" i="6"/>
  <c r="E3962" i="6"/>
  <c r="B3962" i="6"/>
  <c r="A3962" i="6"/>
  <c r="F3961" i="6"/>
  <c r="E3961" i="6"/>
  <c r="B3961" i="6"/>
  <c r="A3961" i="6"/>
  <c r="F3960" i="6"/>
  <c r="E3960" i="6"/>
  <c r="B3960" i="6"/>
  <c r="A3960" i="6"/>
  <c r="F3959" i="6"/>
  <c r="E3959" i="6"/>
  <c r="B3959" i="6"/>
  <c r="A3959" i="6"/>
  <c r="F3958" i="6"/>
  <c r="E3958" i="6"/>
  <c r="B3958" i="6"/>
  <c r="A3958" i="6"/>
  <c r="F3957" i="6"/>
  <c r="E3957" i="6"/>
  <c r="B3957" i="6"/>
  <c r="A3957" i="6"/>
  <c r="F3952" i="6"/>
  <c r="D3952" i="6"/>
  <c r="E3952" i="6" s="1"/>
  <c r="B3952" i="6"/>
  <c r="A3952" i="6"/>
  <c r="F3951" i="6"/>
  <c r="D3951" i="6"/>
  <c r="E3951" i="6" s="1"/>
  <c r="B3951" i="6"/>
  <c r="A3951" i="6"/>
  <c r="F3950" i="6"/>
  <c r="D3950" i="6"/>
  <c r="E3950" i="6" s="1"/>
  <c r="B3950" i="6"/>
  <c r="A3950" i="6"/>
  <c r="F3949" i="6"/>
  <c r="D3949" i="6"/>
  <c r="E3949" i="6" s="1"/>
  <c r="B3949" i="6"/>
  <c r="A3949" i="6"/>
  <c r="F3948" i="6"/>
  <c r="D3948" i="6"/>
  <c r="E3948" i="6" s="1"/>
  <c r="B3948" i="6"/>
  <c r="A3948" i="6"/>
  <c r="F3947" i="6"/>
  <c r="D3947" i="6"/>
  <c r="E3947" i="6" s="1"/>
  <c r="B3947" i="6"/>
  <c r="A3947" i="6"/>
  <c r="F3946" i="6"/>
  <c r="D3946" i="6"/>
  <c r="E3946" i="6" s="1"/>
  <c r="B3946" i="6"/>
  <c r="A3946" i="6"/>
  <c r="F3945" i="6"/>
  <c r="D3945" i="6"/>
  <c r="E3945" i="6" s="1"/>
  <c r="B3945" i="6"/>
  <c r="A3945" i="6"/>
  <c r="F3944" i="6"/>
  <c r="D3944" i="6"/>
  <c r="E3944" i="6" s="1"/>
  <c r="B3944" i="6"/>
  <c r="A3944" i="6"/>
  <c r="G3935" i="6"/>
  <c r="F3935" i="6"/>
  <c r="E3935" i="6"/>
  <c r="F3934" i="6"/>
  <c r="G3934" i="6" s="1"/>
  <c r="E3934" i="6"/>
  <c r="F3933" i="6"/>
  <c r="G3933" i="6" s="1"/>
  <c r="E3933" i="6"/>
  <c r="F3932" i="6"/>
  <c r="G3932" i="6" s="1"/>
  <c r="E3932" i="6"/>
  <c r="G3931" i="6"/>
  <c r="F3931" i="6"/>
  <c r="E3931" i="6"/>
  <c r="F3930" i="6"/>
  <c r="G3930" i="6" s="1"/>
  <c r="E3930" i="6"/>
  <c r="F3929" i="6"/>
  <c r="G3929" i="6" s="1"/>
  <c r="E3929" i="6"/>
  <c r="F3928" i="6"/>
  <c r="G3928" i="6" s="1"/>
  <c r="E3928" i="6"/>
  <c r="E3937" i="6" s="1"/>
  <c r="G3927" i="6"/>
  <c r="F3927" i="6"/>
  <c r="E3927" i="6"/>
  <c r="F3926" i="6"/>
  <c r="G3926" i="6" s="1"/>
  <c r="E3926" i="6"/>
  <c r="B3919" i="6"/>
  <c r="G3918" i="6"/>
  <c r="B3918" i="6"/>
  <c r="B3917" i="6"/>
  <c r="B3916" i="6"/>
  <c r="F3909" i="6"/>
  <c r="G3909" i="6" s="1"/>
  <c r="D3909" i="6"/>
  <c r="B3909" i="6"/>
  <c r="A3909" i="6"/>
  <c r="F3908" i="6"/>
  <c r="G3908" i="6" s="1"/>
  <c r="D3908" i="6"/>
  <c r="B3908" i="6"/>
  <c r="A3908"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8" i="6"/>
  <c r="G3898" i="6" s="1"/>
  <c r="D3898" i="6"/>
  <c r="B3898" i="6"/>
  <c r="A3898"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88" i="6"/>
  <c r="E3888" i="6"/>
  <c r="B3888" i="6"/>
  <c r="A3888" i="6"/>
  <c r="F3887" i="6"/>
  <c r="E3887" i="6"/>
  <c r="B3887" i="6"/>
  <c r="A3887" i="6"/>
  <c r="F3886" i="6"/>
  <c r="E3886" i="6"/>
  <c r="B3886" i="6"/>
  <c r="A3886" i="6"/>
  <c r="F3885" i="6"/>
  <c r="E3885" i="6"/>
  <c r="B3885" i="6"/>
  <c r="A3885" i="6"/>
  <c r="F3884" i="6"/>
  <c r="E3884" i="6"/>
  <c r="B3884" i="6"/>
  <c r="A3884" i="6"/>
  <c r="F3883" i="6"/>
  <c r="E3883" i="6"/>
  <c r="B3883" i="6"/>
  <c r="A3883" i="6"/>
  <c r="F3882" i="6"/>
  <c r="E3882" i="6"/>
  <c r="B3882" i="6"/>
  <c r="A3882" i="6"/>
  <c r="F3877" i="6"/>
  <c r="D3877" i="6"/>
  <c r="E3877" i="6" s="1"/>
  <c r="B3877" i="6"/>
  <c r="A3877" i="6"/>
  <c r="F3876" i="6"/>
  <c r="D3876" i="6"/>
  <c r="E3876" i="6" s="1"/>
  <c r="B3876" i="6"/>
  <c r="A3876" i="6"/>
  <c r="F3875" i="6"/>
  <c r="D3875" i="6"/>
  <c r="E3875" i="6" s="1"/>
  <c r="B3875" i="6"/>
  <c r="A3875" i="6"/>
  <c r="F3874" i="6"/>
  <c r="D3874" i="6"/>
  <c r="E3874" i="6" s="1"/>
  <c r="B3874" i="6"/>
  <c r="A3874" i="6"/>
  <c r="F3873" i="6"/>
  <c r="D3873" i="6"/>
  <c r="E3873" i="6" s="1"/>
  <c r="B3873" i="6"/>
  <c r="A3873" i="6"/>
  <c r="F3872" i="6"/>
  <c r="D3872" i="6"/>
  <c r="E3872" i="6" s="1"/>
  <c r="B3872" i="6"/>
  <c r="A3872" i="6"/>
  <c r="F3871" i="6"/>
  <c r="D3871" i="6"/>
  <c r="E3871" i="6" s="1"/>
  <c r="B3871" i="6"/>
  <c r="A3871" i="6"/>
  <c r="F3870" i="6"/>
  <c r="D3870" i="6"/>
  <c r="E3870" i="6" s="1"/>
  <c r="B3870" i="6"/>
  <c r="A3870" i="6"/>
  <c r="F3869" i="6"/>
  <c r="D3869" i="6"/>
  <c r="E3869" i="6" s="1"/>
  <c r="B3869" i="6"/>
  <c r="A3869" i="6"/>
  <c r="G3860" i="6"/>
  <c r="F3860" i="6"/>
  <c r="E3860" i="6"/>
  <c r="F3859" i="6"/>
  <c r="G3859" i="6" s="1"/>
  <c r="E3859" i="6"/>
  <c r="G3858" i="6"/>
  <c r="F3858" i="6"/>
  <c r="E3858" i="6"/>
  <c r="F3857" i="6"/>
  <c r="G3857" i="6" s="1"/>
  <c r="E3857" i="6"/>
  <c r="G3856" i="6"/>
  <c r="F3856" i="6"/>
  <c r="E3856" i="6"/>
  <c r="F3855" i="6"/>
  <c r="G3855" i="6" s="1"/>
  <c r="E3855" i="6"/>
  <c r="G3854" i="6"/>
  <c r="F3854" i="6"/>
  <c r="E3854" i="6"/>
  <c r="F3853" i="6"/>
  <c r="G3853" i="6" s="1"/>
  <c r="E3853" i="6"/>
  <c r="G3852" i="6"/>
  <c r="F3852" i="6"/>
  <c r="E3852" i="6"/>
  <c r="E3862" i="6" s="1"/>
  <c r="F3851" i="6"/>
  <c r="G3851" i="6" s="1"/>
  <c r="E3851" i="6"/>
  <c r="B3844" i="6"/>
  <c r="G3843" i="6"/>
  <c r="B3843" i="6"/>
  <c r="B3842" i="6"/>
  <c r="B3841" i="6"/>
  <c r="F3834" i="6"/>
  <c r="G3834" i="6" s="1"/>
  <c r="D3834" i="6"/>
  <c r="B3834" i="6"/>
  <c r="A3834" i="6"/>
  <c r="F3833" i="6"/>
  <c r="G3833" i="6" s="1"/>
  <c r="D3833" i="6"/>
  <c r="B3833" i="6"/>
  <c r="A3833" i="6"/>
  <c r="F3828" i="6"/>
  <c r="G3828" i="6" s="1"/>
  <c r="D3828" i="6"/>
  <c r="B3828" i="6"/>
  <c r="A3828" i="6"/>
  <c r="F3827" i="6"/>
  <c r="G3827" i="6" s="1"/>
  <c r="D3827" i="6"/>
  <c r="B3827" i="6"/>
  <c r="A3827" i="6"/>
  <c r="F3826" i="6"/>
  <c r="G3826" i="6" s="1"/>
  <c r="D3826" i="6"/>
  <c r="B3826" i="6"/>
  <c r="A3826"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3" i="6"/>
  <c r="E3813" i="6"/>
  <c r="B3813" i="6"/>
  <c r="A3813" i="6"/>
  <c r="F3812" i="6"/>
  <c r="E3812" i="6"/>
  <c r="B3812" i="6"/>
  <c r="A3812" i="6"/>
  <c r="F3811" i="6"/>
  <c r="E3811" i="6"/>
  <c r="B3811" i="6"/>
  <c r="A3811" i="6"/>
  <c r="F3810" i="6"/>
  <c r="E3810" i="6"/>
  <c r="B3810" i="6"/>
  <c r="A3810" i="6"/>
  <c r="F3809" i="6"/>
  <c r="E3809" i="6"/>
  <c r="B3809" i="6"/>
  <c r="A3809" i="6"/>
  <c r="F3808" i="6"/>
  <c r="E3808" i="6"/>
  <c r="B3808" i="6"/>
  <c r="A3808" i="6"/>
  <c r="F3807" i="6"/>
  <c r="E3807" i="6"/>
  <c r="B3807" i="6"/>
  <c r="A3807" i="6"/>
  <c r="F3802" i="6"/>
  <c r="D3802" i="6"/>
  <c r="E3802" i="6" s="1"/>
  <c r="B3802" i="6"/>
  <c r="A3802" i="6"/>
  <c r="F3801" i="6"/>
  <c r="D3801" i="6"/>
  <c r="E3801" i="6" s="1"/>
  <c r="B3801" i="6"/>
  <c r="A3801" i="6"/>
  <c r="F3800" i="6"/>
  <c r="D3800" i="6"/>
  <c r="E3800" i="6" s="1"/>
  <c r="B3800" i="6"/>
  <c r="A3800" i="6"/>
  <c r="F3799" i="6"/>
  <c r="D3799" i="6"/>
  <c r="E3799" i="6" s="1"/>
  <c r="B3799" i="6"/>
  <c r="A3799" i="6"/>
  <c r="F3798" i="6"/>
  <c r="D3798" i="6"/>
  <c r="E3798" i="6" s="1"/>
  <c r="B3798" i="6"/>
  <c r="A3798" i="6"/>
  <c r="F3797" i="6"/>
  <c r="D3797" i="6"/>
  <c r="E3797" i="6" s="1"/>
  <c r="B3797" i="6"/>
  <c r="A3797" i="6"/>
  <c r="F3796" i="6"/>
  <c r="D3796" i="6"/>
  <c r="E3796" i="6" s="1"/>
  <c r="B3796" i="6"/>
  <c r="A3796" i="6"/>
  <c r="F3795" i="6"/>
  <c r="D3795" i="6"/>
  <c r="E3795" i="6" s="1"/>
  <c r="B3795" i="6"/>
  <c r="A3795" i="6"/>
  <c r="F3794" i="6"/>
  <c r="D3794" i="6"/>
  <c r="E3794" i="6" s="1"/>
  <c r="B3794" i="6"/>
  <c r="A3794" i="6"/>
  <c r="G3785" i="6"/>
  <c r="F3785" i="6"/>
  <c r="E3785" i="6"/>
  <c r="F3784" i="6"/>
  <c r="G3784" i="6" s="1"/>
  <c r="E3784" i="6"/>
  <c r="G3783" i="6"/>
  <c r="F3783" i="6"/>
  <c r="E3783" i="6"/>
  <c r="F3782" i="6"/>
  <c r="G3782" i="6" s="1"/>
  <c r="E3782" i="6"/>
  <c r="G3781" i="6"/>
  <c r="F3781" i="6"/>
  <c r="E3781" i="6"/>
  <c r="F3780" i="6"/>
  <c r="G3780" i="6" s="1"/>
  <c r="E3780" i="6"/>
  <c r="G3779" i="6"/>
  <c r="F3779" i="6"/>
  <c r="E3779" i="6"/>
  <c r="F3778" i="6"/>
  <c r="G3778" i="6" s="1"/>
  <c r="E3778" i="6"/>
  <c r="G3777" i="6"/>
  <c r="F3777" i="6"/>
  <c r="E3777" i="6"/>
  <c r="E3787" i="6" s="1"/>
  <c r="F3776" i="6"/>
  <c r="G3776" i="6" s="1"/>
  <c r="E3776" i="6"/>
  <c r="B3769" i="6"/>
  <c r="G3768" i="6"/>
  <c r="B3768" i="6"/>
  <c r="B3767" i="6"/>
  <c r="B3766" i="6"/>
  <c r="F3759" i="6"/>
  <c r="G3759" i="6" s="1"/>
  <c r="D3759" i="6"/>
  <c r="B3759" i="6"/>
  <c r="A3759" i="6"/>
  <c r="F3758" i="6"/>
  <c r="G3758" i="6" s="1"/>
  <c r="D3758" i="6"/>
  <c r="B3758" i="6"/>
  <c r="A3758" i="6"/>
  <c r="F3753" i="6"/>
  <c r="G3753" i="6" s="1"/>
  <c r="D3753" i="6"/>
  <c r="B3753" i="6"/>
  <c r="A3753" i="6"/>
  <c r="F3752" i="6"/>
  <c r="G3752" i="6" s="1"/>
  <c r="D3752" i="6"/>
  <c r="B3752" i="6"/>
  <c r="A3752" i="6"/>
  <c r="F3751" i="6"/>
  <c r="G3751" i="6" s="1"/>
  <c r="D3751" i="6"/>
  <c r="B3751" i="6"/>
  <c r="A3751" i="6"/>
  <c r="F3750" i="6"/>
  <c r="G3750" i="6" s="1"/>
  <c r="D3750" i="6"/>
  <c r="B3750" i="6"/>
  <c r="A3750" i="6"/>
  <c r="F3749" i="6"/>
  <c r="G3749" i="6" s="1"/>
  <c r="D3749" i="6"/>
  <c r="B3749" i="6"/>
  <c r="A3749" i="6"/>
  <c r="F3748" i="6"/>
  <c r="G3748" i="6" s="1"/>
  <c r="D3748" i="6"/>
  <c r="B3748" i="6"/>
  <c r="A3748"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38" i="6"/>
  <c r="E3738" i="6"/>
  <c r="B3738" i="6"/>
  <c r="A3738" i="6"/>
  <c r="F3737" i="6"/>
  <c r="E3737" i="6"/>
  <c r="B3737" i="6"/>
  <c r="A3737" i="6"/>
  <c r="F3736" i="6"/>
  <c r="E3736" i="6"/>
  <c r="B3736" i="6"/>
  <c r="A3736" i="6"/>
  <c r="F3735" i="6"/>
  <c r="E3735" i="6"/>
  <c r="B3735" i="6"/>
  <c r="A3735" i="6"/>
  <c r="F3734" i="6"/>
  <c r="E3734" i="6"/>
  <c r="B3734" i="6"/>
  <c r="A3734" i="6"/>
  <c r="F3733" i="6"/>
  <c r="E3733" i="6"/>
  <c r="B3733" i="6"/>
  <c r="A3733" i="6"/>
  <c r="F3732" i="6"/>
  <c r="E3732" i="6"/>
  <c r="B3732" i="6"/>
  <c r="A3732" i="6"/>
  <c r="F3727" i="6"/>
  <c r="D3727" i="6"/>
  <c r="E3727" i="6" s="1"/>
  <c r="B3727" i="6"/>
  <c r="A3727" i="6"/>
  <c r="F3726" i="6"/>
  <c r="D3726" i="6"/>
  <c r="E3726" i="6" s="1"/>
  <c r="B3726" i="6"/>
  <c r="A3726" i="6"/>
  <c r="F3725" i="6"/>
  <c r="D3725" i="6"/>
  <c r="E3725" i="6" s="1"/>
  <c r="B3725" i="6"/>
  <c r="A3725" i="6"/>
  <c r="F3724" i="6"/>
  <c r="D3724" i="6"/>
  <c r="E3724" i="6" s="1"/>
  <c r="B3724" i="6"/>
  <c r="A3724" i="6"/>
  <c r="F3723" i="6"/>
  <c r="D3723" i="6"/>
  <c r="E3723" i="6" s="1"/>
  <c r="B3723" i="6"/>
  <c r="A3723" i="6"/>
  <c r="F3722" i="6"/>
  <c r="D3722" i="6"/>
  <c r="E3722" i="6" s="1"/>
  <c r="B3722" i="6"/>
  <c r="A3722" i="6"/>
  <c r="F3721" i="6"/>
  <c r="D3721" i="6"/>
  <c r="E3721" i="6" s="1"/>
  <c r="B3721" i="6"/>
  <c r="A3721" i="6"/>
  <c r="F3720" i="6"/>
  <c r="D3720" i="6"/>
  <c r="E3720" i="6" s="1"/>
  <c r="B3720" i="6"/>
  <c r="A3720" i="6"/>
  <c r="F3719" i="6"/>
  <c r="D3719" i="6"/>
  <c r="E3719" i="6" s="1"/>
  <c r="B3719" i="6"/>
  <c r="A3719" i="6"/>
  <c r="G3710" i="6"/>
  <c r="F3710" i="6"/>
  <c r="E3710" i="6"/>
  <c r="F3709" i="6"/>
  <c r="G3709" i="6" s="1"/>
  <c r="E3709" i="6"/>
  <c r="G3708" i="6"/>
  <c r="F3708" i="6"/>
  <c r="E3708" i="6"/>
  <c r="F3707" i="6"/>
  <c r="G3707" i="6" s="1"/>
  <c r="E3707" i="6"/>
  <c r="G3706" i="6"/>
  <c r="F3706" i="6"/>
  <c r="E3706" i="6"/>
  <c r="F3705" i="6"/>
  <c r="G3705" i="6" s="1"/>
  <c r="E3705" i="6"/>
  <c r="G3704" i="6"/>
  <c r="F3704" i="6"/>
  <c r="E3704" i="6"/>
  <c r="F3703" i="6"/>
  <c r="G3703" i="6" s="1"/>
  <c r="E3703" i="6"/>
  <c r="G3702" i="6"/>
  <c r="F3702" i="6"/>
  <c r="E3702" i="6"/>
  <c r="F3701" i="6"/>
  <c r="G3701" i="6" s="1"/>
  <c r="E3701" i="6"/>
  <c r="E3712" i="6" s="1"/>
  <c r="B3694" i="6"/>
  <c r="G3693" i="6"/>
  <c r="B3693" i="6"/>
  <c r="B3692" i="6"/>
  <c r="B3691" i="6"/>
  <c r="F3684" i="6"/>
  <c r="G3684" i="6" s="1"/>
  <c r="D3684" i="6"/>
  <c r="B3684" i="6"/>
  <c r="A3684" i="6"/>
  <c r="F3683" i="6"/>
  <c r="G3683" i="6" s="1"/>
  <c r="D3683" i="6"/>
  <c r="B3683" i="6"/>
  <c r="A3683" i="6"/>
  <c r="F3678" i="6"/>
  <c r="G3678" i="6" s="1"/>
  <c r="D3678" i="6"/>
  <c r="B3678" i="6"/>
  <c r="A3678" i="6"/>
  <c r="F3677" i="6"/>
  <c r="G3677" i="6" s="1"/>
  <c r="D3677" i="6"/>
  <c r="B3677" i="6"/>
  <c r="A3677" i="6"/>
  <c r="F3676" i="6"/>
  <c r="G3676" i="6" s="1"/>
  <c r="D3676" i="6"/>
  <c r="B3676" i="6"/>
  <c r="A3676"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3" i="6"/>
  <c r="E3663" i="6"/>
  <c r="B3663" i="6"/>
  <c r="A3663" i="6"/>
  <c r="F3662" i="6"/>
  <c r="E3662" i="6"/>
  <c r="B3662" i="6"/>
  <c r="A3662" i="6"/>
  <c r="F3661" i="6"/>
  <c r="E3661" i="6"/>
  <c r="B3661" i="6"/>
  <c r="A3661" i="6"/>
  <c r="F3660" i="6"/>
  <c r="E3660" i="6"/>
  <c r="B3660" i="6"/>
  <c r="A3660" i="6"/>
  <c r="F3659" i="6"/>
  <c r="E3659" i="6"/>
  <c r="B3659" i="6"/>
  <c r="A3659" i="6"/>
  <c r="F3658" i="6"/>
  <c r="E3658" i="6"/>
  <c r="B3658" i="6"/>
  <c r="A3658" i="6"/>
  <c r="F3657" i="6"/>
  <c r="E3657" i="6"/>
  <c r="B3657" i="6"/>
  <c r="A3657" i="6"/>
  <c r="F3652" i="6"/>
  <c r="D3652" i="6"/>
  <c r="E3652" i="6" s="1"/>
  <c r="B3652" i="6"/>
  <c r="A3652" i="6"/>
  <c r="F3651" i="6"/>
  <c r="D3651" i="6"/>
  <c r="E3651" i="6" s="1"/>
  <c r="B3651" i="6"/>
  <c r="A3651" i="6"/>
  <c r="F3650" i="6"/>
  <c r="D3650" i="6"/>
  <c r="E3650" i="6" s="1"/>
  <c r="B3650" i="6"/>
  <c r="A3650" i="6"/>
  <c r="F3649" i="6"/>
  <c r="D3649" i="6"/>
  <c r="E3649" i="6" s="1"/>
  <c r="B3649" i="6"/>
  <c r="A3649" i="6"/>
  <c r="F3648" i="6"/>
  <c r="D3648" i="6"/>
  <c r="E3648" i="6" s="1"/>
  <c r="B3648" i="6"/>
  <c r="A3648" i="6"/>
  <c r="F3647" i="6"/>
  <c r="D3647" i="6"/>
  <c r="E3647" i="6" s="1"/>
  <c r="B3647" i="6"/>
  <c r="A3647" i="6"/>
  <c r="F3646" i="6"/>
  <c r="D3646" i="6"/>
  <c r="E3646" i="6" s="1"/>
  <c r="B3646" i="6"/>
  <c r="A3646" i="6"/>
  <c r="F3645" i="6"/>
  <c r="D3645" i="6"/>
  <c r="E3645" i="6" s="1"/>
  <c r="B3645" i="6"/>
  <c r="A3645" i="6"/>
  <c r="F3644" i="6"/>
  <c r="D3644" i="6"/>
  <c r="E3644" i="6" s="1"/>
  <c r="B3644" i="6"/>
  <c r="A3644" i="6"/>
  <c r="G3635" i="6"/>
  <c r="F3635" i="6"/>
  <c r="E3635" i="6"/>
  <c r="F3634" i="6"/>
  <c r="G3634" i="6" s="1"/>
  <c r="E3634" i="6"/>
  <c r="G3633" i="6"/>
  <c r="F3633" i="6"/>
  <c r="E3633" i="6"/>
  <c r="F3632" i="6"/>
  <c r="G3632" i="6" s="1"/>
  <c r="E3632" i="6"/>
  <c r="G3631" i="6"/>
  <c r="F3631" i="6"/>
  <c r="E3631" i="6"/>
  <c r="F3630" i="6"/>
  <c r="G3630" i="6" s="1"/>
  <c r="E3630" i="6"/>
  <c r="G3629" i="6"/>
  <c r="F3629" i="6"/>
  <c r="E3629" i="6"/>
  <c r="F3628" i="6"/>
  <c r="G3628" i="6" s="1"/>
  <c r="E3628" i="6"/>
  <c r="G3627" i="6"/>
  <c r="F3627" i="6"/>
  <c r="E3627" i="6"/>
  <c r="E3637" i="6" s="1"/>
  <c r="F3626" i="6"/>
  <c r="G3626" i="6" s="1"/>
  <c r="G3637" i="6" s="1"/>
  <c r="E3626" i="6"/>
  <c r="B3619" i="6"/>
  <c r="G3618" i="6"/>
  <c r="B3618" i="6"/>
  <c r="B3617" i="6"/>
  <c r="B3616" i="6"/>
  <c r="F3609" i="6"/>
  <c r="G3609" i="6" s="1"/>
  <c r="D3609" i="6"/>
  <c r="B3609" i="6"/>
  <c r="A3609" i="6"/>
  <c r="F3608" i="6"/>
  <c r="G3608" i="6" s="1"/>
  <c r="D3608" i="6"/>
  <c r="B3608" i="6"/>
  <c r="A3608" i="6"/>
  <c r="F3603" i="6"/>
  <c r="G3603" i="6" s="1"/>
  <c r="D3603" i="6"/>
  <c r="B3603" i="6"/>
  <c r="A3603" i="6"/>
  <c r="F3602" i="6"/>
  <c r="G3602" i="6" s="1"/>
  <c r="D3602" i="6"/>
  <c r="B3602" i="6"/>
  <c r="A3602" i="6"/>
  <c r="F3601" i="6"/>
  <c r="G3601" i="6" s="1"/>
  <c r="D3601" i="6"/>
  <c r="B3601" i="6"/>
  <c r="A3601" i="6"/>
  <c r="F3600" i="6"/>
  <c r="G3600" i="6" s="1"/>
  <c r="D3600" i="6"/>
  <c r="B3600" i="6"/>
  <c r="A3600" i="6"/>
  <c r="F3599" i="6"/>
  <c r="G3599" i="6" s="1"/>
  <c r="D3599" i="6"/>
  <c r="B3599" i="6"/>
  <c r="A3599" i="6"/>
  <c r="F3598" i="6"/>
  <c r="G3598" i="6" s="1"/>
  <c r="D3598" i="6"/>
  <c r="B3598" i="6"/>
  <c r="A3598"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88" i="6"/>
  <c r="E3588" i="6"/>
  <c r="B3588" i="6"/>
  <c r="A3588" i="6"/>
  <c r="F3587" i="6"/>
  <c r="E3587" i="6"/>
  <c r="B3587" i="6"/>
  <c r="A3587" i="6"/>
  <c r="F3586" i="6"/>
  <c r="E3586" i="6"/>
  <c r="B3586" i="6"/>
  <c r="A3586" i="6"/>
  <c r="F3585" i="6"/>
  <c r="E3585" i="6"/>
  <c r="B3585" i="6"/>
  <c r="A3585" i="6"/>
  <c r="F3584" i="6"/>
  <c r="E3584" i="6"/>
  <c r="B3584" i="6"/>
  <c r="A3584" i="6"/>
  <c r="F3583" i="6"/>
  <c r="E3583" i="6"/>
  <c r="B3583" i="6"/>
  <c r="A3583" i="6"/>
  <c r="F3582" i="6"/>
  <c r="E3582" i="6"/>
  <c r="B3582" i="6"/>
  <c r="A3582" i="6"/>
  <c r="F3577" i="6"/>
  <c r="D3577" i="6"/>
  <c r="E3577" i="6" s="1"/>
  <c r="B3577" i="6"/>
  <c r="A3577" i="6"/>
  <c r="F3576" i="6"/>
  <c r="D3576" i="6"/>
  <c r="E3576" i="6" s="1"/>
  <c r="B3576" i="6"/>
  <c r="A3576" i="6"/>
  <c r="F3575" i="6"/>
  <c r="D3575" i="6"/>
  <c r="E3575" i="6" s="1"/>
  <c r="B3575" i="6"/>
  <c r="A3575" i="6"/>
  <c r="F3574" i="6"/>
  <c r="D3574" i="6"/>
  <c r="E3574" i="6" s="1"/>
  <c r="B3574" i="6"/>
  <c r="A3574" i="6"/>
  <c r="F3573" i="6"/>
  <c r="D3573" i="6"/>
  <c r="E3573" i="6" s="1"/>
  <c r="B3573" i="6"/>
  <c r="A3573" i="6"/>
  <c r="F3572" i="6"/>
  <c r="D3572" i="6"/>
  <c r="E3572" i="6" s="1"/>
  <c r="B3572" i="6"/>
  <c r="A3572" i="6"/>
  <c r="F3571" i="6"/>
  <c r="D3571" i="6"/>
  <c r="E3571" i="6" s="1"/>
  <c r="B3571" i="6"/>
  <c r="A3571" i="6"/>
  <c r="F3570" i="6"/>
  <c r="D3570" i="6"/>
  <c r="E3570" i="6" s="1"/>
  <c r="B3570" i="6"/>
  <c r="A3570" i="6"/>
  <c r="F3569" i="6"/>
  <c r="D3569" i="6"/>
  <c r="E3569" i="6" s="1"/>
  <c r="B3569" i="6"/>
  <c r="A3569" i="6"/>
  <c r="G3560" i="6"/>
  <c r="F3560" i="6"/>
  <c r="E3560" i="6"/>
  <c r="G3559" i="6"/>
  <c r="F3559" i="6"/>
  <c r="E3559" i="6"/>
  <c r="F3558" i="6"/>
  <c r="G3558" i="6" s="1"/>
  <c r="E3558" i="6"/>
  <c r="F3557" i="6"/>
  <c r="G3557" i="6" s="1"/>
  <c r="E3557" i="6"/>
  <c r="G3556" i="6"/>
  <c r="F3556" i="6"/>
  <c r="E3556" i="6"/>
  <c r="G3555" i="6"/>
  <c r="F3555" i="6"/>
  <c r="E3555" i="6"/>
  <c r="F3554" i="6"/>
  <c r="G3554" i="6" s="1"/>
  <c r="E3554" i="6"/>
  <c r="F3553" i="6"/>
  <c r="G3553" i="6" s="1"/>
  <c r="E3553" i="6"/>
  <c r="E3562" i="6" s="1"/>
  <c r="G3552" i="6"/>
  <c r="F3552" i="6"/>
  <c r="E3552" i="6"/>
  <c r="G3551" i="6"/>
  <c r="G3562" i="6" s="1"/>
  <c r="F3551" i="6"/>
  <c r="E3551" i="6"/>
  <c r="B3544" i="6"/>
  <c r="G3543" i="6"/>
  <c r="B3543" i="6"/>
  <c r="B3542" i="6"/>
  <c r="B3541" i="6"/>
  <c r="F3534" i="6"/>
  <c r="G3534" i="6" s="1"/>
  <c r="D3534" i="6"/>
  <c r="B3534" i="6"/>
  <c r="A3534" i="6"/>
  <c r="F3533" i="6"/>
  <c r="G3533" i="6" s="1"/>
  <c r="D3533" i="6"/>
  <c r="B3533" i="6"/>
  <c r="A3533" i="6"/>
  <c r="F3528" i="6"/>
  <c r="G3528" i="6" s="1"/>
  <c r="D3528" i="6"/>
  <c r="B3528" i="6"/>
  <c r="A3528" i="6"/>
  <c r="F3527" i="6"/>
  <c r="G3527" i="6" s="1"/>
  <c r="D3527" i="6"/>
  <c r="B3527" i="6"/>
  <c r="A3527" i="6"/>
  <c r="F3526" i="6"/>
  <c r="G3526" i="6" s="1"/>
  <c r="D3526" i="6"/>
  <c r="B3526" i="6"/>
  <c r="A3526"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3" i="6"/>
  <c r="E3513" i="6"/>
  <c r="B3513" i="6"/>
  <c r="A3513" i="6"/>
  <c r="F3512" i="6"/>
  <c r="E3512" i="6"/>
  <c r="B3512" i="6"/>
  <c r="A3512" i="6"/>
  <c r="F3511" i="6"/>
  <c r="E3511" i="6"/>
  <c r="B3511" i="6"/>
  <c r="A3511" i="6"/>
  <c r="F3510" i="6"/>
  <c r="E3510" i="6"/>
  <c r="B3510" i="6"/>
  <c r="A3510" i="6"/>
  <c r="F3509" i="6"/>
  <c r="E3509" i="6"/>
  <c r="B3509" i="6"/>
  <c r="A3509" i="6"/>
  <c r="F3508" i="6"/>
  <c r="E3508" i="6"/>
  <c r="B3508" i="6"/>
  <c r="A3508" i="6"/>
  <c r="F3507" i="6"/>
  <c r="E3507" i="6"/>
  <c r="B3507" i="6"/>
  <c r="A3507" i="6"/>
  <c r="F3502" i="6"/>
  <c r="D3502" i="6"/>
  <c r="E3502" i="6" s="1"/>
  <c r="B3502" i="6"/>
  <c r="A3502" i="6"/>
  <c r="F3501" i="6"/>
  <c r="D3501" i="6"/>
  <c r="E3501" i="6" s="1"/>
  <c r="B3501" i="6"/>
  <c r="A3501" i="6"/>
  <c r="F3500" i="6"/>
  <c r="D3500" i="6"/>
  <c r="E3500" i="6" s="1"/>
  <c r="B3500" i="6"/>
  <c r="A3500" i="6"/>
  <c r="F3499" i="6"/>
  <c r="D3499" i="6"/>
  <c r="E3499" i="6" s="1"/>
  <c r="B3499" i="6"/>
  <c r="A3499" i="6"/>
  <c r="F3498" i="6"/>
  <c r="D3498" i="6"/>
  <c r="E3498" i="6" s="1"/>
  <c r="B3498" i="6"/>
  <c r="A3498" i="6"/>
  <c r="F3497" i="6"/>
  <c r="D3497" i="6"/>
  <c r="E3497" i="6" s="1"/>
  <c r="B3497" i="6"/>
  <c r="A3497" i="6"/>
  <c r="F3496" i="6"/>
  <c r="D3496" i="6"/>
  <c r="E3496" i="6" s="1"/>
  <c r="B3496" i="6"/>
  <c r="A3496" i="6"/>
  <c r="F3495" i="6"/>
  <c r="D3495" i="6"/>
  <c r="E3495" i="6" s="1"/>
  <c r="B3495" i="6"/>
  <c r="A3495" i="6"/>
  <c r="F3494" i="6"/>
  <c r="D3494" i="6"/>
  <c r="E3494" i="6" s="1"/>
  <c r="B3494" i="6"/>
  <c r="A3494" i="6"/>
  <c r="G3485" i="6"/>
  <c r="F3485" i="6"/>
  <c r="E3485" i="6"/>
  <c r="G3484" i="6"/>
  <c r="F3484" i="6"/>
  <c r="E3484" i="6"/>
  <c r="F3483" i="6"/>
  <c r="G3483" i="6" s="1"/>
  <c r="E3483" i="6"/>
  <c r="F3482" i="6"/>
  <c r="G3482" i="6" s="1"/>
  <c r="E3482" i="6"/>
  <c r="G3481" i="6"/>
  <c r="F3481" i="6"/>
  <c r="E3481" i="6"/>
  <c r="G3480" i="6"/>
  <c r="F3480" i="6"/>
  <c r="E3480" i="6"/>
  <c r="F3479" i="6"/>
  <c r="G3479" i="6" s="1"/>
  <c r="E3479" i="6"/>
  <c r="F3478" i="6"/>
  <c r="G3478" i="6" s="1"/>
  <c r="E3478" i="6"/>
  <c r="E3487" i="6" s="1"/>
  <c r="G3477" i="6"/>
  <c r="F3477" i="6"/>
  <c r="E3477" i="6"/>
  <c r="G3476" i="6"/>
  <c r="G3487" i="6" s="1"/>
  <c r="F3476" i="6"/>
  <c r="E3476" i="6"/>
  <c r="B3469" i="6"/>
  <c r="G3468" i="6"/>
  <c r="B3468" i="6"/>
  <c r="B3467" i="6"/>
  <c r="B3466" i="6"/>
  <c r="F3459" i="6"/>
  <c r="G3459" i="6" s="1"/>
  <c r="D3459" i="6"/>
  <c r="B3459" i="6"/>
  <c r="A3459" i="6"/>
  <c r="F3458" i="6"/>
  <c r="G3458" i="6" s="1"/>
  <c r="D3458" i="6"/>
  <c r="B3458" i="6"/>
  <c r="A3458" i="6"/>
  <c r="F3453" i="6"/>
  <c r="G3453" i="6" s="1"/>
  <c r="D3453" i="6"/>
  <c r="B3453" i="6"/>
  <c r="A3453" i="6"/>
  <c r="F3452" i="6"/>
  <c r="G3452" i="6" s="1"/>
  <c r="D3452" i="6"/>
  <c r="B3452" i="6"/>
  <c r="A3452" i="6"/>
  <c r="F3451" i="6"/>
  <c r="G3451" i="6" s="1"/>
  <c r="D3451" i="6"/>
  <c r="B3451" i="6"/>
  <c r="A3451" i="6"/>
  <c r="F3450" i="6"/>
  <c r="G3450" i="6" s="1"/>
  <c r="D3450" i="6"/>
  <c r="B3450" i="6"/>
  <c r="A3450" i="6"/>
  <c r="F3449" i="6"/>
  <c r="G3449" i="6" s="1"/>
  <c r="D3449" i="6"/>
  <c r="B3449" i="6"/>
  <c r="A3449" i="6"/>
  <c r="F3448" i="6"/>
  <c r="G3448" i="6" s="1"/>
  <c r="D3448" i="6"/>
  <c r="B3448" i="6"/>
  <c r="A3448" i="6"/>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38" i="6"/>
  <c r="E3438" i="6"/>
  <c r="B3438" i="6"/>
  <c r="A3438" i="6"/>
  <c r="F3437" i="6"/>
  <c r="E3437" i="6"/>
  <c r="B3437" i="6"/>
  <c r="A3437" i="6"/>
  <c r="F3436" i="6"/>
  <c r="E3436" i="6"/>
  <c r="B3436" i="6"/>
  <c r="A3436" i="6"/>
  <c r="F3435" i="6"/>
  <c r="E3435" i="6"/>
  <c r="B3435" i="6"/>
  <c r="A3435" i="6"/>
  <c r="F3434" i="6"/>
  <c r="E3434" i="6"/>
  <c r="B3434" i="6"/>
  <c r="A3434" i="6"/>
  <c r="F3433" i="6"/>
  <c r="E3433" i="6"/>
  <c r="B3433" i="6"/>
  <c r="A3433" i="6"/>
  <c r="F3432" i="6"/>
  <c r="E3432" i="6"/>
  <c r="B3432" i="6"/>
  <c r="A3432" i="6"/>
  <c r="F3427" i="6"/>
  <c r="D3427" i="6"/>
  <c r="E3427" i="6" s="1"/>
  <c r="B3427" i="6"/>
  <c r="A3427" i="6"/>
  <c r="F3426" i="6"/>
  <c r="D3426" i="6"/>
  <c r="E3426" i="6" s="1"/>
  <c r="B3426" i="6"/>
  <c r="A3426" i="6"/>
  <c r="F3425" i="6"/>
  <c r="D3425" i="6"/>
  <c r="E3425" i="6" s="1"/>
  <c r="B3425" i="6"/>
  <c r="A3425" i="6"/>
  <c r="F3424" i="6"/>
  <c r="D3424" i="6"/>
  <c r="E3424" i="6" s="1"/>
  <c r="B3424" i="6"/>
  <c r="A3424" i="6"/>
  <c r="F3423" i="6"/>
  <c r="D3423" i="6"/>
  <c r="E3423" i="6" s="1"/>
  <c r="B3423" i="6"/>
  <c r="A3423" i="6"/>
  <c r="F3422" i="6"/>
  <c r="D3422" i="6"/>
  <c r="E3422" i="6" s="1"/>
  <c r="B3422" i="6"/>
  <c r="A3422" i="6"/>
  <c r="F3421" i="6"/>
  <c r="D3421" i="6"/>
  <c r="E3421" i="6" s="1"/>
  <c r="B3421" i="6"/>
  <c r="A3421" i="6"/>
  <c r="F3420" i="6"/>
  <c r="D3420" i="6"/>
  <c r="E3420" i="6" s="1"/>
  <c r="B3420" i="6"/>
  <c r="A3420" i="6"/>
  <c r="F3419" i="6"/>
  <c r="D3419" i="6"/>
  <c r="E3419" i="6" s="1"/>
  <c r="B3419" i="6"/>
  <c r="A3419" i="6"/>
  <c r="G3410" i="6"/>
  <c r="F3410" i="6"/>
  <c r="E3410" i="6"/>
  <c r="F3409" i="6"/>
  <c r="G3409" i="6" s="1"/>
  <c r="E3409" i="6"/>
  <c r="G3408" i="6"/>
  <c r="F3408" i="6"/>
  <c r="E3408" i="6"/>
  <c r="F3407" i="6"/>
  <c r="G3407" i="6" s="1"/>
  <c r="E3407" i="6"/>
  <c r="G3406" i="6"/>
  <c r="F3406" i="6"/>
  <c r="E3406" i="6"/>
  <c r="F3405" i="6"/>
  <c r="G3405" i="6" s="1"/>
  <c r="E3405" i="6"/>
  <c r="G3404" i="6"/>
  <c r="F3404" i="6"/>
  <c r="E3404" i="6"/>
  <c r="F3403" i="6"/>
  <c r="G3403" i="6" s="1"/>
  <c r="E3403" i="6"/>
  <c r="G3402" i="6"/>
  <c r="F3402" i="6"/>
  <c r="E3402" i="6"/>
  <c r="F3401" i="6"/>
  <c r="G3401" i="6" s="1"/>
  <c r="E3401" i="6"/>
  <c r="E3412" i="6" s="1"/>
  <c r="B3394" i="6"/>
  <c r="G3393" i="6"/>
  <c r="B3393" i="6"/>
  <c r="B3392" i="6"/>
  <c r="B3391" i="6"/>
  <c r="F3384" i="6"/>
  <c r="G3384" i="6" s="1"/>
  <c r="D3384" i="6"/>
  <c r="B3384" i="6"/>
  <c r="A3384" i="6"/>
  <c r="F3383" i="6"/>
  <c r="G3383" i="6" s="1"/>
  <c r="D3383" i="6"/>
  <c r="B3383" i="6"/>
  <c r="A3383" i="6"/>
  <c r="F3378" i="6"/>
  <c r="G3378" i="6" s="1"/>
  <c r="D3378" i="6"/>
  <c r="B3378" i="6"/>
  <c r="A3378" i="6"/>
  <c r="F3377" i="6"/>
  <c r="G3377" i="6" s="1"/>
  <c r="D3377" i="6"/>
  <c r="B3377" i="6"/>
  <c r="A3377" i="6"/>
  <c r="F3376" i="6"/>
  <c r="G3376" i="6" s="1"/>
  <c r="D3376" i="6"/>
  <c r="B3376" i="6"/>
  <c r="A3376"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3" i="6"/>
  <c r="E3363" i="6"/>
  <c r="B3363" i="6"/>
  <c r="A3363" i="6"/>
  <c r="F3362" i="6"/>
  <c r="E3362" i="6"/>
  <c r="B3362" i="6"/>
  <c r="A3362" i="6"/>
  <c r="F3361" i="6"/>
  <c r="E3361" i="6"/>
  <c r="B3361" i="6"/>
  <c r="A3361" i="6"/>
  <c r="F3360" i="6"/>
  <c r="E3360" i="6"/>
  <c r="B3360" i="6"/>
  <c r="A3360" i="6"/>
  <c r="F3359" i="6"/>
  <c r="E3359" i="6"/>
  <c r="B3359" i="6"/>
  <c r="A3359" i="6"/>
  <c r="F3358" i="6"/>
  <c r="E3358" i="6"/>
  <c r="B3358" i="6"/>
  <c r="A3358" i="6"/>
  <c r="F3357" i="6"/>
  <c r="E3357" i="6"/>
  <c r="B3357" i="6"/>
  <c r="A3357" i="6"/>
  <c r="F3352" i="6"/>
  <c r="D3352" i="6"/>
  <c r="E3352" i="6" s="1"/>
  <c r="B3352" i="6"/>
  <c r="A3352" i="6"/>
  <c r="F3351" i="6"/>
  <c r="D3351" i="6"/>
  <c r="E3351" i="6" s="1"/>
  <c r="B3351" i="6"/>
  <c r="A3351" i="6"/>
  <c r="F3350" i="6"/>
  <c r="D3350" i="6"/>
  <c r="E3350" i="6" s="1"/>
  <c r="B3350" i="6"/>
  <c r="A3350" i="6"/>
  <c r="F3349" i="6"/>
  <c r="D3349" i="6"/>
  <c r="E3349" i="6" s="1"/>
  <c r="B3349" i="6"/>
  <c r="A3349" i="6"/>
  <c r="F3348" i="6"/>
  <c r="D3348" i="6"/>
  <c r="E3348" i="6" s="1"/>
  <c r="B3348" i="6"/>
  <c r="A3348" i="6"/>
  <c r="F3347" i="6"/>
  <c r="D3347" i="6"/>
  <c r="E3347" i="6" s="1"/>
  <c r="B3347" i="6"/>
  <c r="A3347" i="6"/>
  <c r="F3346" i="6"/>
  <c r="D3346" i="6"/>
  <c r="E3346" i="6" s="1"/>
  <c r="B3346" i="6"/>
  <c r="A3346" i="6"/>
  <c r="F3345" i="6"/>
  <c r="D3345" i="6"/>
  <c r="E3345" i="6" s="1"/>
  <c r="B3345" i="6"/>
  <c r="A3345" i="6"/>
  <c r="F3344" i="6"/>
  <c r="D3344" i="6"/>
  <c r="E3344" i="6" s="1"/>
  <c r="B3344" i="6"/>
  <c r="A3344" i="6"/>
  <c r="G3335" i="6"/>
  <c r="F3335" i="6"/>
  <c r="E3335" i="6"/>
  <c r="F3334" i="6"/>
  <c r="G3334" i="6" s="1"/>
  <c r="E3334" i="6"/>
  <c r="G3333" i="6"/>
  <c r="F3333" i="6"/>
  <c r="E3333" i="6"/>
  <c r="F3332" i="6"/>
  <c r="G3332" i="6" s="1"/>
  <c r="E3332" i="6"/>
  <c r="G3331" i="6"/>
  <c r="F3331" i="6"/>
  <c r="E3331" i="6"/>
  <c r="F3330" i="6"/>
  <c r="G3330" i="6" s="1"/>
  <c r="E3330" i="6"/>
  <c r="G3329" i="6"/>
  <c r="F3329" i="6"/>
  <c r="E3329" i="6"/>
  <c r="F3328" i="6"/>
  <c r="G3328" i="6" s="1"/>
  <c r="E3328" i="6"/>
  <c r="G3327" i="6"/>
  <c r="F3327" i="6"/>
  <c r="E3327" i="6"/>
  <c r="F3326" i="6"/>
  <c r="G3326" i="6" s="1"/>
  <c r="G3337" i="6" s="1"/>
  <c r="E3326" i="6"/>
  <c r="E3337" i="6" s="1"/>
  <c r="B3319" i="6"/>
  <c r="G3318" i="6"/>
  <c r="B3318" i="6"/>
  <c r="B3317" i="6"/>
  <c r="B3316" i="6"/>
  <c r="F3309" i="6"/>
  <c r="G3309" i="6" s="1"/>
  <c r="D3309" i="6"/>
  <c r="B3309" i="6"/>
  <c r="A3309" i="6"/>
  <c r="F3308" i="6"/>
  <c r="G3308" i="6" s="1"/>
  <c r="D3308" i="6"/>
  <c r="B3308" i="6"/>
  <c r="A3308" i="6"/>
  <c r="F3303" i="6"/>
  <c r="G3303" i="6" s="1"/>
  <c r="D3303" i="6"/>
  <c r="B3303" i="6"/>
  <c r="A3303" i="6"/>
  <c r="F3302" i="6"/>
  <c r="G3302" i="6" s="1"/>
  <c r="D3302" i="6"/>
  <c r="B3302" i="6"/>
  <c r="A3302" i="6"/>
  <c r="F3301" i="6"/>
  <c r="G3301" i="6" s="1"/>
  <c r="D3301" i="6"/>
  <c r="B3301" i="6"/>
  <c r="A3301" i="6"/>
  <c r="F3300" i="6"/>
  <c r="G3300" i="6" s="1"/>
  <c r="D3300" i="6"/>
  <c r="B3300" i="6"/>
  <c r="A3300" i="6"/>
  <c r="F3299" i="6"/>
  <c r="G3299" i="6" s="1"/>
  <c r="D3299" i="6"/>
  <c r="B3299" i="6"/>
  <c r="A3299" i="6"/>
  <c r="F3298" i="6"/>
  <c r="G3298" i="6" s="1"/>
  <c r="D3298" i="6"/>
  <c r="B3298" i="6"/>
  <c r="A3298"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88" i="6"/>
  <c r="E3288" i="6"/>
  <c r="B3288" i="6"/>
  <c r="A3288" i="6"/>
  <c r="F3287" i="6"/>
  <c r="E3287" i="6"/>
  <c r="B3287" i="6"/>
  <c r="A3287" i="6"/>
  <c r="F3286" i="6"/>
  <c r="E3286" i="6"/>
  <c r="B3286" i="6"/>
  <c r="A3286" i="6"/>
  <c r="F3285" i="6"/>
  <c r="E3285" i="6"/>
  <c r="B3285" i="6"/>
  <c r="A3285" i="6"/>
  <c r="F3284" i="6"/>
  <c r="E3284" i="6"/>
  <c r="B3284" i="6"/>
  <c r="A3284" i="6"/>
  <c r="F3283" i="6"/>
  <c r="E3283" i="6"/>
  <c r="B3283" i="6"/>
  <c r="A3283" i="6"/>
  <c r="F3282" i="6"/>
  <c r="E3282" i="6"/>
  <c r="B3282" i="6"/>
  <c r="A3282" i="6"/>
  <c r="F3277" i="6"/>
  <c r="D3277" i="6"/>
  <c r="E3277" i="6" s="1"/>
  <c r="B3277" i="6"/>
  <c r="A3277" i="6"/>
  <c r="F3276" i="6"/>
  <c r="D3276" i="6"/>
  <c r="E3276" i="6" s="1"/>
  <c r="B3276" i="6"/>
  <c r="A3276" i="6"/>
  <c r="F3275" i="6"/>
  <c r="D3275" i="6"/>
  <c r="E3275" i="6" s="1"/>
  <c r="B3275" i="6"/>
  <c r="A3275" i="6"/>
  <c r="F3274" i="6"/>
  <c r="D3274" i="6"/>
  <c r="E3274" i="6" s="1"/>
  <c r="B3274" i="6"/>
  <c r="A3274" i="6"/>
  <c r="F3273" i="6"/>
  <c r="D3273" i="6"/>
  <c r="E3273" i="6" s="1"/>
  <c r="B3273" i="6"/>
  <c r="A3273" i="6"/>
  <c r="F3272" i="6"/>
  <c r="D3272" i="6"/>
  <c r="E3272" i="6" s="1"/>
  <c r="B3272" i="6"/>
  <c r="A3272" i="6"/>
  <c r="F3271" i="6"/>
  <c r="D3271" i="6"/>
  <c r="E3271" i="6" s="1"/>
  <c r="B3271" i="6"/>
  <c r="A3271" i="6"/>
  <c r="F3270" i="6"/>
  <c r="D3270" i="6"/>
  <c r="E3270" i="6" s="1"/>
  <c r="B3270" i="6"/>
  <c r="A3270" i="6"/>
  <c r="F3269" i="6"/>
  <c r="D3269" i="6"/>
  <c r="E3269" i="6" s="1"/>
  <c r="B3269" i="6"/>
  <c r="A3269" i="6"/>
  <c r="G3260" i="6"/>
  <c r="F3260" i="6"/>
  <c r="E3260" i="6"/>
  <c r="F3259" i="6"/>
  <c r="G3259" i="6" s="1"/>
  <c r="E3259" i="6"/>
  <c r="G3258" i="6"/>
  <c r="F3258" i="6"/>
  <c r="E3258" i="6"/>
  <c r="F3257" i="6"/>
  <c r="G3257" i="6" s="1"/>
  <c r="E3257" i="6"/>
  <c r="G3256" i="6"/>
  <c r="F3256" i="6"/>
  <c r="E3256" i="6"/>
  <c r="F3255" i="6"/>
  <c r="G3255" i="6" s="1"/>
  <c r="E3255" i="6"/>
  <c r="G3254" i="6"/>
  <c r="F3254" i="6"/>
  <c r="E3254" i="6"/>
  <c r="F3253" i="6"/>
  <c r="G3253" i="6" s="1"/>
  <c r="E3253" i="6"/>
  <c r="G3252" i="6"/>
  <c r="F3252" i="6"/>
  <c r="E3252" i="6"/>
  <c r="F3251" i="6"/>
  <c r="G3251" i="6" s="1"/>
  <c r="E3251" i="6"/>
  <c r="E3262" i="6" s="1"/>
  <c r="B3244" i="6"/>
  <c r="G3243" i="6"/>
  <c r="B3243" i="6"/>
  <c r="B3242" i="6"/>
  <c r="B3241" i="6"/>
  <c r="F3234" i="6"/>
  <c r="G3234" i="6" s="1"/>
  <c r="D3234" i="6"/>
  <c r="B3234" i="6"/>
  <c r="A3234" i="6"/>
  <c r="F3233" i="6"/>
  <c r="G3233" i="6" s="1"/>
  <c r="D3233" i="6"/>
  <c r="B3233" i="6"/>
  <c r="A3233" i="6"/>
  <c r="F3228" i="6"/>
  <c r="G3228" i="6" s="1"/>
  <c r="D3228" i="6"/>
  <c r="B3228" i="6"/>
  <c r="A3228" i="6"/>
  <c r="F3227" i="6"/>
  <c r="G3227" i="6" s="1"/>
  <c r="D3227" i="6"/>
  <c r="B3227" i="6"/>
  <c r="A3227" i="6"/>
  <c r="F3226" i="6"/>
  <c r="G3226" i="6" s="1"/>
  <c r="D3226" i="6"/>
  <c r="B3226" i="6"/>
  <c r="A3226"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3" i="6"/>
  <c r="E3213" i="6"/>
  <c r="B3213" i="6"/>
  <c r="A3213" i="6"/>
  <c r="F3212" i="6"/>
  <c r="E3212" i="6"/>
  <c r="B3212" i="6"/>
  <c r="A3212" i="6"/>
  <c r="F3211" i="6"/>
  <c r="E3211" i="6"/>
  <c r="B3211" i="6"/>
  <c r="A3211" i="6"/>
  <c r="F3210" i="6"/>
  <c r="E3210" i="6"/>
  <c r="B3210" i="6"/>
  <c r="A3210" i="6"/>
  <c r="F3209" i="6"/>
  <c r="E3209" i="6"/>
  <c r="B3209" i="6"/>
  <c r="A3209" i="6"/>
  <c r="F3208" i="6"/>
  <c r="E3208" i="6"/>
  <c r="B3208" i="6"/>
  <c r="A3208" i="6"/>
  <c r="F3207" i="6"/>
  <c r="E3207" i="6"/>
  <c r="B3207" i="6"/>
  <c r="A3207" i="6"/>
  <c r="F3202" i="6"/>
  <c r="D3202" i="6"/>
  <c r="E3202" i="6" s="1"/>
  <c r="B3202" i="6"/>
  <c r="A3202" i="6"/>
  <c r="F3201" i="6"/>
  <c r="D3201" i="6"/>
  <c r="E3201" i="6" s="1"/>
  <c r="B3201" i="6"/>
  <c r="A3201" i="6"/>
  <c r="F3200" i="6"/>
  <c r="D3200" i="6"/>
  <c r="E3200" i="6" s="1"/>
  <c r="B3200" i="6"/>
  <c r="A3200" i="6"/>
  <c r="F3199" i="6"/>
  <c r="D3199" i="6"/>
  <c r="E3199" i="6" s="1"/>
  <c r="B3199" i="6"/>
  <c r="A3199" i="6"/>
  <c r="F3198" i="6"/>
  <c r="D3198" i="6"/>
  <c r="E3198" i="6" s="1"/>
  <c r="B3198" i="6"/>
  <c r="A3198" i="6"/>
  <c r="F3197" i="6"/>
  <c r="D3197" i="6"/>
  <c r="E3197" i="6" s="1"/>
  <c r="B3197" i="6"/>
  <c r="A3197" i="6"/>
  <c r="F3196" i="6"/>
  <c r="D3196" i="6"/>
  <c r="E3196" i="6" s="1"/>
  <c r="B3196" i="6"/>
  <c r="A3196" i="6"/>
  <c r="F3195" i="6"/>
  <c r="D3195" i="6"/>
  <c r="E3195" i="6" s="1"/>
  <c r="B3195" i="6"/>
  <c r="A3195" i="6"/>
  <c r="F3194" i="6"/>
  <c r="D3194" i="6"/>
  <c r="E3194" i="6" s="1"/>
  <c r="B3194" i="6"/>
  <c r="A3194" i="6"/>
  <c r="G3185" i="6"/>
  <c r="F3185" i="6"/>
  <c r="E3185" i="6"/>
  <c r="F3184" i="6"/>
  <c r="G3184" i="6" s="1"/>
  <c r="E3184" i="6"/>
  <c r="G3183" i="6"/>
  <c r="F3183" i="6"/>
  <c r="E3183" i="6"/>
  <c r="F3182" i="6"/>
  <c r="G3182" i="6" s="1"/>
  <c r="E3182" i="6"/>
  <c r="G3181" i="6"/>
  <c r="F3181" i="6"/>
  <c r="E3181" i="6"/>
  <c r="F3180" i="6"/>
  <c r="G3180" i="6" s="1"/>
  <c r="E3180" i="6"/>
  <c r="G3179" i="6"/>
  <c r="F3179" i="6"/>
  <c r="E3179" i="6"/>
  <c r="F3178" i="6"/>
  <c r="G3178" i="6" s="1"/>
  <c r="E3178" i="6"/>
  <c r="G3177" i="6"/>
  <c r="F3177" i="6"/>
  <c r="E3177" i="6"/>
  <c r="F3176" i="6"/>
  <c r="G3176" i="6" s="1"/>
  <c r="G3187" i="6" s="1"/>
  <c r="E3176" i="6"/>
  <c r="E3187" i="6" s="1"/>
  <c r="B3169" i="6"/>
  <c r="G3168" i="6"/>
  <c r="B3168" i="6"/>
  <c r="B3167" i="6"/>
  <c r="B3166" i="6"/>
  <c r="F3159" i="6"/>
  <c r="G3159" i="6" s="1"/>
  <c r="D3159" i="6"/>
  <c r="B3159" i="6"/>
  <c r="A3159" i="6"/>
  <c r="F3158" i="6"/>
  <c r="G3158" i="6" s="1"/>
  <c r="D3158" i="6"/>
  <c r="B3158" i="6"/>
  <c r="A3158" i="6"/>
  <c r="F3153" i="6"/>
  <c r="G3153" i="6" s="1"/>
  <c r="D3153" i="6"/>
  <c r="B3153" i="6"/>
  <c r="A3153" i="6"/>
  <c r="F3152" i="6"/>
  <c r="G3152" i="6" s="1"/>
  <c r="D3152" i="6"/>
  <c r="B3152" i="6"/>
  <c r="A3152" i="6"/>
  <c r="F3151" i="6"/>
  <c r="G3151" i="6" s="1"/>
  <c r="D3151" i="6"/>
  <c r="B3151" i="6"/>
  <c r="A3151" i="6"/>
  <c r="F3150" i="6"/>
  <c r="G3150" i="6" s="1"/>
  <c r="D3150" i="6"/>
  <c r="B3150" i="6"/>
  <c r="A3150" i="6"/>
  <c r="F3149" i="6"/>
  <c r="G3149" i="6" s="1"/>
  <c r="D3149" i="6"/>
  <c r="B3149" i="6"/>
  <c r="A3149" i="6"/>
  <c r="F3148" i="6"/>
  <c r="G3148" i="6" s="1"/>
  <c r="D3148" i="6"/>
  <c r="B3148" i="6"/>
  <c r="A3148"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38" i="6"/>
  <c r="E3138" i="6"/>
  <c r="B3138" i="6"/>
  <c r="A3138" i="6"/>
  <c r="F3137" i="6"/>
  <c r="E3137" i="6"/>
  <c r="B3137" i="6"/>
  <c r="A3137" i="6"/>
  <c r="F3136" i="6"/>
  <c r="E3136" i="6"/>
  <c r="B3136" i="6"/>
  <c r="A3136" i="6"/>
  <c r="F3135" i="6"/>
  <c r="E3135" i="6"/>
  <c r="B3135" i="6"/>
  <c r="A3135" i="6"/>
  <c r="F3134" i="6"/>
  <c r="E3134" i="6"/>
  <c r="B3134" i="6"/>
  <c r="A3134" i="6"/>
  <c r="F3133" i="6"/>
  <c r="E3133" i="6"/>
  <c r="B3133" i="6"/>
  <c r="A3133" i="6"/>
  <c r="F3132" i="6"/>
  <c r="E3132" i="6"/>
  <c r="B3132" i="6"/>
  <c r="A3132" i="6"/>
  <c r="F3127" i="6"/>
  <c r="D3127" i="6"/>
  <c r="E3127" i="6" s="1"/>
  <c r="B3127" i="6"/>
  <c r="A3127" i="6"/>
  <c r="F3126" i="6"/>
  <c r="D3126" i="6"/>
  <c r="E3126" i="6" s="1"/>
  <c r="B3126" i="6"/>
  <c r="A3126" i="6"/>
  <c r="F3125" i="6"/>
  <c r="D3125" i="6"/>
  <c r="E3125" i="6" s="1"/>
  <c r="B3125" i="6"/>
  <c r="A3125" i="6"/>
  <c r="F3124" i="6"/>
  <c r="D3124" i="6"/>
  <c r="E3124" i="6" s="1"/>
  <c r="B3124" i="6"/>
  <c r="A3124" i="6"/>
  <c r="F3123" i="6"/>
  <c r="D3123" i="6"/>
  <c r="E3123" i="6" s="1"/>
  <c r="B3123" i="6"/>
  <c r="A3123" i="6"/>
  <c r="F3122" i="6"/>
  <c r="D3122" i="6"/>
  <c r="E3122" i="6" s="1"/>
  <c r="B3122" i="6"/>
  <c r="A3122" i="6"/>
  <c r="F3121" i="6"/>
  <c r="D3121" i="6"/>
  <c r="E3121" i="6" s="1"/>
  <c r="B3121" i="6"/>
  <c r="A3121" i="6"/>
  <c r="F3120" i="6"/>
  <c r="D3120" i="6"/>
  <c r="E3120" i="6" s="1"/>
  <c r="B3120" i="6"/>
  <c r="A3120" i="6"/>
  <c r="F3119" i="6"/>
  <c r="D3119" i="6"/>
  <c r="E3119" i="6" s="1"/>
  <c r="B3119" i="6"/>
  <c r="A3119" i="6"/>
  <c r="G3110" i="6"/>
  <c r="F3110" i="6"/>
  <c r="E3110" i="6"/>
  <c r="F3109" i="6"/>
  <c r="G3109" i="6" s="1"/>
  <c r="E3109" i="6"/>
  <c r="G3108" i="6"/>
  <c r="F3108" i="6"/>
  <c r="E3108" i="6"/>
  <c r="F3107" i="6"/>
  <c r="G3107" i="6" s="1"/>
  <c r="E3107" i="6"/>
  <c r="G3106" i="6"/>
  <c r="F3106" i="6"/>
  <c r="E3106" i="6"/>
  <c r="F3105" i="6"/>
  <c r="G3105" i="6" s="1"/>
  <c r="E3105" i="6"/>
  <c r="G3104" i="6"/>
  <c r="F3104" i="6"/>
  <c r="E3104" i="6"/>
  <c r="F3103" i="6"/>
  <c r="G3103" i="6" s="1"/>
  <c r="E3103" i="6"/>
  <c r="G3102" i="6"/>
  <c r="F3102" i="6"/>
  <c r="E3102" i="6"/>
  <c r="F3101" i="6"/>
  <c r="G3101" i="6" s="1"/>
  <c r="E3101" i="6"/>
  <c r="E3112" i="6" s="1"/>
  <c r="B3094" i="6"/>
  <c r="G3093" i="6"/>
  <c r="B3093" i="6"/>
  <c r="B3092" i="6"/>
  <c r="B3091" i="6"/>
  <c r="F3084" i="6"/>
  <c r="G3084" i="6" s="1"/>
  <c r="D3084" i="6"/>
  <c r="B3084" i="6"/>
  <c r="A3084" i="6"/>
  <c r="F3083" i="6"/>
  <c r="G3083" i="6" s="1"/>
  <c r="D3083" i="6"/>
  <c r="B3083" i="6"/>
  <c r="A3083" i="6"/>
  <c r="F3078" i="6"/>
  <c r="G3078" i="6" s="1"/>
  <c r="D3078" i="6"/>
  <c r="B3078" i="6"/>
  <c r="A3078" i="6"/>
  <c r="F3077" i="6"/>
  <c r="G3077" i="6" s="1"/>
  <c r="D3077" i="6"/>
  <c r="B3077" i="6"/>
  <c r="A3077" i="6"/>
  <c r="F3076" i="6"/>
  <c r="G3076" i="6" s="1"/>
  <c r="D3076" i="6"/>
  <c r="B3076" i="6"/>
  <c r="A3076"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3" i="6"/>
  <c r="E3063" i="6"/>
  <c r="B3063" i="6"/>
  <c r="A3063" i="6"/>
  <c r="F3062" i="6"/>
  <c r="E3062" i="6"/>
  <c r="B3062" i="6"/>
  <c r="A3062" i="6"/>
  <c r="F3061" i="6"/>
  <c r="E3061" i="6"/>
  <c r="B3061" i="6"/>
  <c r="A3061" i="6"/>
  <c r="F3060" i="6"/>
  <c r="E3060" i="6"/>
  <c r="B3060" i="6"/>
  <c r="A3060" i="6"/>
  <c r="F3059" i="6"/>
  <c r="E3059" i="6"/>
  <c r="B3059" i="6"/>
  <c r="A3059" i="6"/>
  <c r="F3058" i="6"/>
  <c r="E3058" i="6"/>
  <c r="B3058" i="6"/>
  <c r="A3058" i="6"/>
  <c r="F3057" i="6"/>
  <c r="E3057" i="6"/>
  <c r="B3057" i="6"/>
  <c r="A3057" i="6"/>
  <c r="F3052" i="6"/>
  <c r="D3052" i="6"/>
  <c r="E3052" i="6" s="1"/>
  <c r="B3052" i="6"/>
  <c r="A3052" i="6"/>
  <c r="F3051" i="6"/>
  <c r="D3051" i="6"/>
  <c r="E3051" i="6" s="1"/>
  <c r="B3051" i="6"/>
  <c r="A3051" i="6"/>
  <c r="F3050" i="6"/>
  <c r="D3050" i="6"/>
  <c r="E3050" i="6" s="1"/>
  <c r="B3050" i="6"/>
  <c r="A3050" i="6"/>
  <c r="F3049" i="6"/>
  <c r="D3049" i="6"/>
  <c r="E3049" i="6" s="1"/>
  <c r="B3049" i="6"/>
  <c r="A3049" i="6"/>
  <c r="F3048" i="6"/>
  <c r="D3048" i="6"/>
  <c r="E3048" i="6" s="1"/>
  <c r="B3048" i="6"/>
  <c r="A3048" i="6"/>
  <c r="F3047" i="6"/>
  <c r="D3047" i="6"/>
  <c r="E3047" i="6" s="1"/>
  <c r="B3047" i="6"/>
  <c r="A3047" i="6"/>
  <c r="F3046" i="6"/>
  <c r="D3046" i="6"/>
  <c r="E3046" i="6" s="1"/>
  <c r="B3046" i="6"/>
  <c r="A3046" i="6"/>
  <c r="F3045" i="6"/>
  <c r="D3045" i="6"/>
  <c r="E3045" i="6" s="1"/>
  <c r="B3045" i="6"/>
  <c r="A3045" i="6"/>
  <c r="F3044" i="6"/>
  <c r="D3044" i="6"/>
  <c r="E3044" i="6" s="1"/>
  <c r="B3044" i="6"/>
  <c r="A3044" i="6"/>
  <c r="G3035" i="6"/>
  <c r="F3035" i="6"/>
  <c r="E3035" i="6"/>
  <c r="F3034" i="6"/>
  <c r="G3034" i="6" s="1"/>
  <c r="E3034" i="6"/>
  <c r="G3033" i="6"/>
  <c r="F3033" i="6"/>
  <c r="E3033" i="6"/>
  <c r="F3032" i="6"/>
  <c r="G3032" i="6" s="1"/>
  <c r="E3032" i="6"/>
  <c r="G3031" i="6"/>
  <c r="F3031" i="6"/>
  <c r="E3031" i="6"/>
  <c r="F3030" i="6"/>
  <c r="G3030" i="6" s="1"/>
  <c r="E3030" i="6"/>
  <c r="G3029" i="6"/>
  <c r="F3029" i="6"/>
  <c r="E3029" i="6"/>
  <c r="F3028" i="6"/>
  <c r="G3028" i="6" s="1"/>
  <c r="E3028" i="6"/>
  <c r="G3027" i="6"/>
  <c r="F3027" i="6"/>
  <c r="E3027" i="6"/>
  <c r="E3037" i="6" s="1"/>
  <c r="F3026" i="6"/>
  <c r="G3026" i="6" s="1"/>
  <c r="E3026" i="6"/>
  <c r="B3019" i="6"/>
  <c r="G3018" i="6"/>
  <c r="B3018" i="6"/>
  <c r="B3017" i="6"/>
  <c r="B3016" i="6"/>
  <c r="F3009" i="6"/>
  <c r="G3009" i="6" s="1"/>
  <c r="D3009" i="6"/>
  <c r="B3009" i="6"/>
  <c r="A3009" i="6"/>
  <c r="F3008" i="6"/>
  <c r="G3008" i="6" s="1"/>
  <c r="D3008" i="6"/>
  <c r="B3008" i="6"/>
  <c r="A3008" i="6"/>
  <c r="F3003" i="6"/>
  <c r="G3003" i="6" s="1"/>
  <c r="D3003" i="6"/>
  <c r="B3003" i="6"/>
  <c r="A3003" i="6"/>
  <c r="F3002" i="6"/>
  <c r="G3002" i="6" s="1"/>
  <c r="D3002" i="6"/>
  <c r="B3002" i="6"/>
  <c r="A3002" i="6"/>
  <c r="F3001" i="6"/>
  <c r="G3001" i="6" s="1"/>
  <c r="D3001" i="6"/>
  <c r="B3001" i="6"/>
  <c r="A3001"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88" i="6"/>
  <c r="E2988" i="6"/>
  <c r="B2988" i="6"/>
  <c r="A2988" i="6"/>
  <c r="F2987" i="6"/>
  <c r="E2987" i="6"/>
  <c r="B2987" i="6"/>
  <c r="A2987" i="6"/>
  <c r="F2986" i="6"/>
  <c r="E2986" i="6"/>
  <c r="B2986" i="6"/>
  <c r="A2986" i="6"/>
  <c r="F2985" i="6"/>
  <c r="E2985" i="6"/>
  <c r="B2985" i="6"/>
  <c r="A2985" i="6"/>
  <c r="F2984" i="6"/>
  <c r="E2984" i="6"/>
  <c r="B2984" i="6"/>
  <c r="A2984" i="6"/>
  <c r="F2983" i="6"/>
  <c r="E2983" i="6"/>
  <c r="B2983" i="6"/>
  <c r="A2983" i="6"/>
  <c r="F2982" i="6"/>
  <c r="E2982" i="6"/>
  <c r="B2982" i="6"/>
  <c r="A2982" i="6"/>
  <c r="F2977" i="6"/>
  <c r="D2977" i="6"/>
  <c r="E2977" i="6" s="1"/>
  <c r="B2977" i="6"/>
  <c r="A2977" i="6"/>
  <c r="F2976" i="6"/>
  <c r="D2976" i="6"/>
  <c r="E2976" i="6" s="1"/>
  <c r="B2976" i="6"/>
  <c r="A2976" i="6"/>
  <c r="F2975" i="6"/>
  <c r="D2975" i="6"/>
  <c r="E2975" i="6" s="1"/>
  <c r="B2975" i="6"/>
  <c r="A2975" i="6"/>
  <c r="F2974" i="6"/>
  <c r="D2974" i="6"/>
  <c r="E2974" i="6" s="1"/>
  <c r="B2974" i="6"/>
  <c r="A2974" i="6"/>
  <c r="F2973" i="6"/>
  <c r="D2973" i="6"/>
  <c r="E2973" i="6" s="1"/>
  <c r="B2973" i="6"/>
  <c r="A2973" i="6"/>
  <c r="F2972" i="6"/>
  <c r="D2972" i="6"/>
  <c r="E2972" i="6" s="1"/>
  <c r="B2972" i="6"/>
  <c r="A2972" i="6"/>
  <c r="F2971" i="6"/>
  <c r="D2971" i="6"/>
  <c r="E2971" i="6" s="1"/>
  <c r="B2971" i="6"/>
  <c r="A2971" i="6"/>
  <c r="F2970" i="6"/>
  <c r="D2970" i="6"/>
  <c r="E2970" i="6" s="1"/>
  <c r="B2970" i="6"/>
  <c r="A2970" i="6"/>
  <c r="F2969" i="6"/>
  <c r="D2969" i="6"/>
  <c r="E2969" i="6" s="1"/>
  <c r="B2969" i="6"/>
  <c r="A2969" i="6"/>
  <c r="G2960" i="6"/>
  <c r="F2960" i="6"/>
  <c r="E2960" i="6"/>
  <c r="F2959" i="6"/>
  <c r="G2959" i="6" s="1"/>
  <c r="E2959" i="6"/>
  <c r="G2958" i="6"/>
  <c r="F2958" i="6"/>
  <c r="E2958" i="6"/>
  <c r="F2957" i="6"/>
  <c r="G2957" i="6" s="1"/>
  <c r="E2957" i="6"/>
  <c r="G2956" i="6"/>
  <c r="F2956" i="6"/>
  <c r="E2956" i="6"/>
  <c r="F2955" i="6"/>
  <c r="G2955" i="6" s="1"/>
  <c r="E2955" i="6"/>
  <c r="G2954" i="6"/>
  <c r="F2954" i="6"/>
  <c r="E2954" i="6"/>
  <c r="F2953" i="6"/>
  <c r="G2953" i="6" s="1"/>
  <c r="E2953" i="6"/>
  <c r="G2952" i="6"/>
  <c r="F2952" i="6"/>
  <c r="E2952" i="6"/>
  <c r="E2962" i="6" s="1"/>
  <c r="F2951" i="6"/>
  <c r="G2951" i="6" s="1"/>
  <c r="G2962" i="6" s="1"/>
  <c r="E2951" i="6"/>
  <c r="B2944" i="6"/>
  <c r="G2943" i="6"/>
  <c r="B2943" i="6"/>
  <c r="B2942" i="6"/>
  <c r="B2941" i="6"/>
  <c r="F2934" i="6"/>
  <c r="G2934" i="6" s="1"/>
  <c r="D2934" i="6"/>
  <c r="B2934" i="6"/>
  <c r="A2934" i="6"/>
  <c r="F2933" i="6"/>
  <c r="G2933" i="6" s="1"/>
  <c r="G2935" i="6" s="1"/>
  <c r="D2933" i="6"/>
  <c r="B2933" i="6"/>
  <c r="A2933"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3" i="6"/>
  <c r="E2913" i="6"/>
  <c r="B2913" i="6"/>
  <c r="A2913" i="6"/>
  <c r="F2912" i="6"/>
  <c r="E2912" i="6"/>
  <c r="B2912" i="6"/>
  <c r="A2912" i="6"/>
  <c r="F2911" i="6"/>
  <c r="E2911" i="6"/>
  <c r="B2911" i="6"/>
  <c r="A2911" i="6"/>
  <c r="F2910" i="6"/>
  <c r="E2910" i="6"/>
  <c r="B2910" i="6"/>
  <c r="A2910" i="6"/>
  <c r="F2909" i="6"/>
  <c r="E2909" i="6"/>
  <c r="B2909" i="6"/>
  <c r="A2909" i="6"/>
  <c r="F2908" i="6"/>
  <c r="E2908" i="6"/>
  <c r="B2908" i="6"/>
  <c r="A2908" i="6"/>
  <c r="F2907" i="6"/>
  <c r="E2907" i="6"/>
  <c r="B2907" i="6"/>
  <c r="A2907" i="6"/>
  <c r="F2902" i="6"/>
  <c r="D2902" i="6"/>
  <c r="E2902" i="6" s="1"/>
  <c r="B2902" i="6"/>
  <c r="A2902" i="6"/>
  <c r="F2901" i="6"/>
  <c r="D2901" i="6"/>
  <c r="E2901" i="6" s="1"/>
  <c r="B2901" i="6"/>
  <c r="A2901" i="6"/>
  <c r="F2900" i="6"/>
  <c r="D2900" i="6"/>
  <c r="E2900" i="6" s="1"/>
  <c r="B2900" i="6"/>
  <c r="A2900" i="6"/>
  <c r="F2899" i="6"/>
  <c r="D2899" i="6"/>
  <c r="E2899" i="6" s="1"/>
  <c r="B2899" i="6"/>
  <c r="A2899" i="6"/>
  <c r="F2898" i="6"/>
  <c r="D2898" i="6"/>
  <c r="E2898" i="6" s="1"/>
  <c r="B2898" i="6"/>
  <c r="A2898" i="6"/>
  <c r="F2897" i="6"/>
  <c r="D2897" i="6"/>
  <c r="E2897" i="6" s="1"/>
  <c r="B2897" i="6"/>
  <c r="A2897" i="6"/>
  <c r="F2896" i="6"/>
  <c r="D2896" i="6"/>
  <c r="E2896" i="6" s="1"/>
  <c r="B2896" i="6"/>
  <c r="A2896" i="6"/>
  <c r="F2895" i="6"/>
  <c r="D2895" i="6"/>
  <c r="E2895" i="6" s="1"/>
  <c r="B2895" i="6"/>
  <c r="A2895" i="6"/>
  <c r="F2894" i="6"/>
  <c r="D2894" i="6"/>
  <c r="E2894" i="6" s="1"/>
  <c r="B2894" i="6"/>
  <c r="A2894" i="6"/>
  <c r="F2885" i="6"/>
  <c r="G2885" i="6" s="1"/>
  <c r="E2885" i="6"/>
  <c r="G2884" i="6"/>
  <c r="F2884" i="6"/>
  <c r="E2884" i="6"/>
  <c r="F2883" i="6"/>
  <c r="G2883" i="6" s="1"/>
  <c r="E2883" i="6"/>
  <c r="F2882" i="6"/>
  <c r="G2882" i="6" s="1"/>
  <c r="E2882" i="6"/>
  <c r="G2881" i="6"/>
  <c r="F2881" i="6"/>
  <c r="E2881" i="6"/>
  <c r="G2880" i="6"/>
  <c r="F2880" i="6"/>
  <c r="E2880" i="6"/>
  <c r="F2879" i="6"/>
  <c r="G2879" i="6" s="1"/>
  <c r="E2879" i="6"/>
  <c r="F2878" i="6"/>
  <c r="G2878" i="6" s="1"/>
  <c r="E2878" i="6"/>
  <c r="E2887" i="6" s="1"/>
  <c r="G2877" i="6"/>
  <c r="F2877" i="6"/>
  <c r="E2877" i="6"/>
  <c r="G2876" i="6"/>
  <c r="F2876" i="6"/>
  <c r="E2876" i="6"/>
  <c r="B2869" i="6"/>
  <c r="G2868" i="6"/>
  <c r="B2868" i="6"/>
  <c r="B2867" i="6"/>
  <c r="B2866" i="6"/>
  <c r="F2859" i="6"/>
  <c r="G2859" i="6" s="1"/>
  <c r="D2859" i="6"/>
  <c r="B2859" i="6"/>
  <c r="A2859" i="6"/>
  <c r="F2858" i="6"/>
  <c r="G2858" i="6" s="1"/>
  <c r="G2860" i="6" s="1"/>
  <c r="D2858" i="6"/>
  <c r="B2858" i="6"/>
  <c r="A2858"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8" i="6"/>
  <c r="G2848" i="6" s="1"/>
  <c r="D2848" i="6"/>
  <c r="B2848" i="6"/>
  <c r="A2848"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38" i="6"/>
  <c r="E2838" i="6"/>
  <c r="B2838" i="6"/>
  <c r="A2838" i="6"/>
  <c r="F2837" i="6"/>
  <c r="E2837" i="6"/>
  <c r="B2837" i="6"/>
  <c r="A2837" i="6"/>
  <c r="F2836" i="6"/>
  <c r="E2836" i="6"/>
  <c r="B2836" i="6"/>
  <c r="A2836" i="6"/>
  <c r="F2835" i="6"/>
  <c r="E2835" i="6"/>
  <c r="B2835" i="6"/>
  <c r="A2835" i="6"/>
  <c r="F2834" i="6"/>
  <c r="E2834" i="6"/>
  <c r="B2834" i="6"/>
  <c r="A2834" i="6"/>
  <c r="F2833" i="6"/>
  <c r="E2833" i="6"/>
  <c r="B2833" i="6"/>
  <c r="A2833" i="6"/>
  <c r="F2832" i="6"/>
  <c r="E2832" i="6"/>
  <c r="B2832" i="6"/>
  <c r="A2832" i="6"/>
  <c r="F2827" i="6"/>
  <c r="D2827" i="6"/>
  <c r="E2827" i="6" s="1"/>
  <c r="B2827" i="6"/>
  <c r="A2827" i="6"/>
  <c r="F2826" i="6"/>
  <c r="D2826" i="6"/>
  <c r="E2826" i="6" s="1"/>
  <c r="B2826" i="6"/>
  <c r="A2826" i="6"/>
  <c r="F2825" i="6"/>
  <c r="D2825" i="6"/>
  <c r="E2825" i="6" s="1"/>
  <c r="B2825" i="6"/>
  <c r="A2825" i="6"/>
  <c r="F2824" i="6"/>
  <c r="D2824" i="6"/>
  <c r="E2824" i="6" s="1"/>
  <c r="B2824" i="6"/>
  <c r="A2824" i="6"/>
  <c r="F2823" i="6"/>
  <c r="D2823" i="6"/>
  <c r="E2823" i="6" s="1"/>
  <c r="B2823" i="6"/>
  <c r="A2823" i="6"/>
  <c r="F2822" i="6"/>
  <c r="D2822" i="6"/>
  <c r="E2822" i="6" s="1"/>
  <c r="B2822" i="6"/>
  <c r="A2822" i="6"/>
  <c r="F2821" i="6"/>
  <c r="D2821" i="6"/>
  <c r="E2821" i="6" s="1"/>
  <c r="B2821" i="6"/>
  <c r="A2821" i="6"/>
  <c r="F2820" i="6"/>
  <c r="D2820" i="6"/>
  <c r="E2820" i="6" s="1"/>
  <c r="B2820" i="6"/>
  <c r="A2820" i="6"/>
  <c r="F2819" i="6"/>
  <c r="D2819" i="6"/>
  <c r="E2819" i="6" s="1"/>
  <c r="B2819" i="6"/>
  <c r="A2819" i="6"/>
  <c r="G2810" i="6"/>
  <c r="F2810" i="6"/>
  <c r="E2810" i="6"/>
  <c r="G2809" i="6"/>
  <c r="F2809" i="6"/>
  <c r="E2809" i="6"/>
  <c r="F2808" i="6"/>
  <c r="G2808" i="6" s="1"/>
  <c r="E2808" i="6"/>
  <c r="F2807" i="6"/>
  <c r="G2807" i="6" s="1"/>
  <c r="E2807" i="6"/>
  <c r="G2806" i="6"/>
  <c r="F2806" i="6"/>
  <c r="E2806" i="6"/>
  <c r="G2805" i="6"/>
  <c r="F2805" i="6"/>
  <c r="E2805" i="6"/>
  <c r="F2804" i="6"/>
  <c r="G2804" i="6" s="1"/>
  <c r="E2804" i="6"/>
  <c r="F2803" i="6"/>
  <c r="G2803" i="6" s="1"/>
  <c r="E2803" i="6"/>
  <c r="E2812" i="6" s="1"/>
  <c r="G2802" i="6"/>
  <c r="F2802" i="6"/>
  <c r="E2802" i="6"/>
  <c r="G2801" i="6"/>
  <c r="G2812" i="6" s="1"/>
  <c r="F2801" i="6"/>
  <c r="E2801" i="6"/>
  <c r="B2794" i="6"/>
  <c r="G2793" i="6"/>
  <c r="B2793" i="6"/>
  <c r="B2792" i="6"/>
  <c r="B2791" i="6"/>
  <c r="F2784" i="6"/>
  <c r="G2784" i="6" s="1"/>
  <c r="D2784" i="6"/>
  <c r="B2784" i="6"/>
  <c r="A2784" i="6"/>
  <c r="F2783" i="6"/>
  <c r="G2783" i="6" s="1"/>
  <c r="G2785" i="6" s="1"/>
  <c r="D2783" i="6"/>
  <c r="B2783" i="6"/>
  <c r="A2783" i="6"/>
  <c r="F2778" i="6"/>
  <c r="G2778" i="6" s="1"/>
  <c r="D2778" i="6"/>
  <c r="B2778" i="6"/>
  <c r="A2778" i="6"/>
  <c r="F2777" i="6"/>
  <c r="G2777" i="6" s="1"/>
  <c r="D2777" i="6"/>
  <c r="B2777" i="6"/>
  <c r="A2777" i="6"/>
  <c r="F2776" i="6"/>
  <c r="G2776" i="6" s="1"/>
  <c r="D2776" i="6"/>
  <c r="B2776" i="6"/>
  <c r="A2776"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3" i="6"/>
  <c r="E2763" i="6"/>
  <c r="B2763" i="6"/>
  <c r="A2763" i="6"/>
  <c r="F2762" i="6"/>
  <c r="E2762" i="6"/>
  <c r="B2762" i="6"/>
  <c r="A2762" i="6"/>
  <c r="F2761" i="6"/>
  <c r="E2761" i="6"/>
  <c r="B2761" i="6"/>
  <c r="A2761" i="6"/>
  <c r="F2760" i="6"/>
  <c r="E2760" i="6"/>
  <c r="B2760" i="6"/>
  <c r="A2760" i="6"/>
  <c r="F2759" i="6"/>
  <c r="E2759" i="6"/>
  <c r="B2759" i="6"/>
  <c r="A2759" i="6"/>
  <c r="F2758" i="6"/>
  <c r="E2758" i="6"/>
  <c r="B2758" i="6"/>
  <c r="A2758" i="6"/>
  <c r="F2757" i="6"/>
  <c r="E2757" i="6"/>
  <c r="B2757" i="6"/>
  <c r="A2757" i="6"/>
  <c r="F2752" i="6"/>
  <c r="D2752" i="6"/>
  <c r="E2752" i="6" s="1"/>
  <c r="B2752" i="6"/>
  <c r="A2752" i="6"/>
  <c r="F2751" i="6"/>
  <c r="D2751" i="6"/>
  <c r="E2751" i="6" s="1"/>
  <c r="B2751" i="6"/>
  <c r="A2751" i="6"/>
  <c r="F2750" i="6"/>
  <c r="D2750" i="6"/>
  <c r="E2750" i="6" s="1"/>
  <c r="B2750" i="6"/>
  <c r="A2750" i="6"/>
  <c r="F2749" i="6"/>
  <c r="D2749" i="6"/>
  <c r="E2749" i="6" s="1"/>
  <c r="B2749" i="6"/>
  <c r="A2749" i="6"/>
  <c r="F2748" i="6"/>
  <c r="D2748" i="6"/>
  <c r="E2748" i="6" s="1"/>
  <c r="B2748" i="6"/>
  <c r="A2748" i="6"/>
  <c r="F2747" i="6"/>
  <c r="D2747" i="6"/>
  <c r="E2747" i="6" s="1"/>
  <c r="B2747" i="6"/>
  <c r="A2747" i="6"/>
  <c r="F2746" i="6"/>
  <c r="D2746" i="6"/>
  <c r="E2746" i="6" s="1"/>
  <c r="B2746" i="6"/>
  <c r="A2746" i="6"/>
  <c r="F2745" i="6"/>
  <c r="D2745" i="6"/>
  <c r="E2745" i="6" s="1"/>
  <c r="B2745" i="6"/>
  <c r="A2745" i="6"/>
  <c r="F2744" i="6"/>
  <c r="D2744" i="6"/>
  <c r="E2744" i="6" s="1"/>
  <c r="B2744" i="6"/>
  <c r="A2744" i="6"/>
  <c r="F2735" i="6"/>
  <c r="G2735" i="6" s="1"/>
  <c r="E2735" i="6"/>
  <c r="G2734" i="6"/>
  <c r="F2734" i="6"/>
  <c r="E2734" i="6"/>
  <c r="F2733" i="6"/>
  <c r="G2733" i="6" s="1"/>
  <c r="E2733" i="6"/>
  <c r="F2732" i="6"/>
  <c r="G2732" i="6" s="1"/>
  <c r="E2732" i="6"/>
  <c r="G2731" i="6"/>
  <c r="F2731" i="6"/>
  <c r="E2731" i="6"/>
  <c r="G2730" i="6"/>
  <c r="F2730" i="6"/>
  <c r="E2730" i="6"/>
  <c r="F2729" i="6"/>
  <c r="G2729" i="6" s="1"/>
  <c r="E2729" i="6"/>
  <c r="F2728" i="6"/>
  <c r="G2728" i="6" s="1"/>
  <c r="E2728" i="6"/>
  <c r="E2737" i="6" s="1"/>
  <c r="G2727" i="6"/>
  <c r="F2727" i="6"/>
  <c r="E2727" i="6"/>
  <c r="G2726" i="6"/>
  <c r="G2737" i="6" s="1"/>
  <c r="F2726" i="6"/>
  <c r="E2726" i="6"/>
  <c r="B2719" i="6"/>
  <c r="G2718" i="6"/>
  <c r="B2718" i="6"/>
  <c r="B2717" i="6"/>
  <c r="B2716" i="6"/>
  <c r="F2709" i="6"/>
  <c r="G2709" i="6" s="1"/>
  <c r="D2709" i="6"/>
  <c r="B2709" i="6"/>
  <c r="A2709" i="6"/>
  <c r="F2708" i="6"/>
  <c r="G2708" i="6" s="1"/>
  <c r="D2708" i="6"/>
  <c r="B2708" i="6"/>
  <c r="A2708" i="6"/>
  <c r="F2703" i="6"/>
  <c r="G2703" i="6" s="1"/>
  <c r="D2703" i="6"/>
  <c r="B2703" i="6"/>
  <c r="A2703" i="6"/>
  <c r="F2702" i="6"/>
  <c r="G2702" i="6" s="1"/>
  <c r="D2702" i="6"/>
  <c r="B2702" i="6"/>
  <c r="A2702" i="6"/>
  <c r="F2701" i="6"/>
  <c r="G2701" i="6" s="1"/>
  <c r="D2701" i="6"/>
  <c r="B2701" i="6"/>
  <c r="A2701" i="6"/>
  <c r="F2700" i="6"/>
  <c r="G2700" i="6" s="1"/>
  <c r="D2700" i="6"/>
  <c r="B2700" i="6"/>
  <c r="A2700" i="6"/>
  <c r="F2699" i="6"/>
  <c r="G2699" i="6" s="1"/>
  <c r="D2699" i="6"/>
  <c r="B2699" i="6"/>
  <c r="A2699" i="6"/>
  <c r="F2698" i="6"/>
  <c r="G2698" i="6" s="1"/>
  <c r="D2698" i="6"/>
  <c r="B2698" i="6"/>
  <c r="A2698"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88" i="6"/>
  <c r="E2688" i="6"/>
  <c r="B2688" i="6"/>
  <c r="A2688" i="6"/>
  <c r="F2687" i="6"/>
  <c r="E2687" i="6"/>
  <c r="B2687" i="6"/>
  <c r="A2687" i="6"/>
  <c r="F2686" i="6"/>
  <c r="E2686" i="6"/>
  <c r="B2686" i="6"/>
  <c r="A2686" i="6"/>
  <c r="F2685" i="6"/>
  <c r="E2685" i="6"/>
  <c r="B2685" i="6"/>
  <c r="A2685" i="6"/>
  <c r="F2684" i="6"/>
  <c r="E2684" i="6"/>
  <c r="B2684" i="6"/>
  <c r="A2684" i="6"/>
  <c r="F2683" i="6"/>
  <c r="E2683" i="6"/>
  <c r="B2683" i="6"/>
  <c r="A2683" i="6"/>
  <c r="F2682" i="6"/>
  <c r="E2682" i="6"/>
  <c r="B2682" i="6"/>
  <c r="A2682" i="6"/>
  <c r="F2677" i="6"/>
  <c r="D2677" i="6"/>
  <c r="E2677" i="6" s="1"/>
  <c r="B2677" i="6"/>
  <c r="A2677" i="6"/>
  <c r="F2676" i="6"/>
  <c r="D2676" i="6"/>
  <c r="E2676" i="6" s="1"/>
  <c r="B2676" i="6"/>
  <c r="A2676" i="6"/>
  <c r="F2675" i="6"/>
  <c r="D2675" i="6"/>
  <c r="E2675" i="6" s="1"/>
  <c r="B2675" i="6"/>
  <c r="A2675" i="6"/>
  <c r="F2674" i="6"/>
  <c r="D2674" i="6"/>
  <c r="E2674" i="6" s="1"/>
  <c r="B2674" i="6"/>
  <c r="A2674" i="6"/>
  <c r="F2673" i="6"/>
  <c r="D2673" i="6"/>
  <c r="E2673" i="6" s="1"/>
  <c r="B2673" i="6"/>
  <c r="A2673" i="6"/>
  <c r="F2672" i="6"/>
  <c r="D2672" i="6"/>
  <c r="E2672" i="6" s="1"/>
  <c r="B2672" i="6"/>
  <c r="A2672" i="6"/>
  <c r="F2671" i="6"/>
  <c r="D2671" i="6"/>
  <c r="E2671" i="6" s="1"/>
  <c r="B2671" i="6"/>
  <c r="A2671" i="6"/>
  <c r="F2670" i="6"/>
  <c r="D2670" i="6"/>
  <c r="E2670" i="6" s="1"/>
  <c r="B2670" i="6"/>
  <c r="A2670" i="6"/>
  <c r="F2669" i="6"/>
  <c r="D2669" i="6"/>
  <c r="E2669" i="6" s="1"/>
  <c r="B2669" i="6"/>
  <c r="A2669" i="6"/>
  <c r="G2660" i="6"/>
  <c r="F2660" i="6"/>
  <c r="E2660" i="6"/>
  <c r="G2659" i="6"/>
  <c r="F2659" i="6"/>
  <c r="E2659" i="6"/>
  <c r="F2658" i="6"/>
  <c r="G2658" i="6" s="1"/>
  <c r="E2658" i="6"/>
  <c r="G2657" i="6"/>
  <c r="F2657" i="6"/>
  <c r="E2657" i="6"/>
  <c r="G2656" i="6"/>
  <c r="F2656" i="6"/>
  <c r="E2656" i="6"/>
  <c r="G2655" i="6"/>
  <c r="F2655" i="6"/>
  <c r="E2655" i="6"/>
  <c r="F2654" i="6"/>
  <c r="G2654" i="6" s="1"/>
  <c r="E2654" i="6"/>
  <c r="G2653" i="6"/>
  <c r="F2653" i="6"/>
  <c r="E2653" i="6"/>
  <c r="E2662" i="6" s="1"/>
  <c r="G2652" i="6"/>
  <c r="F2652" i="6"/>
  <c r="E2652" i="6"/>
  <c r="G2651" i="6"/>
  <c r="F2651" i="6"/>
  <c r="E2651" i="6"/>
  <c r="B2644" i="6"/>
  <c r="G2643" i="6"/>
  <c r="B2643" i="6"/>
  <c r="B2642" i="6"/>
  <c r="B2641" i="6"/>
  <c r="F2634" i="6"/>
  <c r="G2634" i="6" s="1"/>
  <c r="D2634" i="6"/>
  <c r="B2634" i="6"/>
  <c r="A2634" i="6"/>
  <c r="F2633" i="6"/>
  <c r="G2633" i="6" s="1"/>
  <c r="D2633" i="6"/>
  <c r="B2633" i="6"/>
  <c r="A2633" i="6"/>
  <c r="F2628" i="6"/>
  <c r="G2628" i="6" s="1"/>
  <c r="D2628" i="6"/>
  <c r="B2628" i="6"/>
  <c r="A2628" i="6"/>
  <c r="F2627" i="6"/>
  <c r="G2627" i="6" s="1"/>
  <c r="D2627" i="6"/>
  <c r="B2627" i="6"/>
  <c r="A2627" i="6"/>
  <c r="F2626" i="6"/>
  <c r="G2626" i="6" s="1"/>
  <c r="D2626" i="6"/>
  <c r="B2626" i="6"/>
  <c r="A2626"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3" i="6"/>
  <c r="E2613" i="6"/>
  <c r="B2613" i="6"/>
  <c r="A2613" i="6"/>
  <c r="F2612" i="6"/>
  <c r="E2612" i="6"/>
  <c r="B2612" i="6"/>
  <c r="A2612" i="6"/>
  <c r="F2611" i="6"/>
  <c r="E2611" i="6"/>
  <c r="B2611" i="6"/>
  <c r="A2611" i="6"/>
  <c r="F2610" i="6"/>
  <c r="E2610" i="6"/>
  <c r="B2610" i="6"/>
  <c r="A2610" i="6"/>
  <c r="F2609" i="6"/>
  <c r="E2609" i="6"/>
  <c r="B2609" i="6"/>
  <c r="A2609" i="6"/>
  <c r="F2608" i="6"/>
  <c r="E2608" i="6"/>
  <c r="B2608" i="6"/>
  <c r="A2608" i="6"/>
  <c r="F2607" i="6"/>
  <c r="E2607" i="6"/>
  <c r="B2607" i="6"/>
  <c r="A2607" i="6"/>
  <c r="F2602" i="6"/>
  <c r="D2602" i="6"/>
  <c r="E2602" i="6" s="1"/>
  <c r="B2602" i="6"/>
  <c r="A2602" i="6"/>
  <c r="F2601" i="6"/>
  <c r="D2601" i="6"/>
  <c r="E2601" i="6" s="1"/>
  <c r="B2601" i="6"/>
  <c r="A2601" i="6"/>
  <c r="F2600" i="6"/>
  <c r="D2600" i="6"/>
  <c r="E2600" i="6" s="1"/>
  <c r="B2600" i="6"/>
  <c r="A2600" i="6"/>
  <c r="F2599" i="6"/>
  <c r="D2599" i="6"/>
  <c r="E2599" i="6" s="1"/>
  <c r="B2599" i="6"/>
  <c r="A2599" i="6"/>
  <c r="F2598" i="6"/>
  <c r="D2598" i="6"/>
  <c r="E2598" i="6" s="1"/>
  <c r="B2598" i="6"/>
  <c r="A2598" i="6"/>
  <c r="F2597" i="6"/>
  <c r="D2597" i="6"/>
  <c r="E2597" i="6" s="1"/>
  <c r="B2597" i="6"/>
  <c r="A2597" i="6"/>
  <c r="F2596" i="6"/>
  <c r="D2596" i="6"/>
  <c r="E2596" i="6" s="1"/>
  <c r="B2596" i="6"/>
  <c r="A2596" i="6"/>
  <c r="F2595" i="6"/>
  <c r="D2595" i="6"/>
  <c r="E2595" i="6" s="1"/>
  <c r="B2595" i="6"/>
  <c r="A2595" i="6"/>
  <c r="F2594" i="6"/>
  <c r="D2594" i="6"/>
  <c r="E2594" i="6" s="1"/>
  <c r="B2594" i="6"/>
  <c r="A2594" i="6"/>
  <c r="G2585" i="6"/>
  <c r="F2585" i="6"/>
  <c r="E2585" i="6"/>
  <c r="F2584" i="6"/>
  <c r="G2584" i="6" s="1"/>
  <c r="E2584" i="6"/>
  <c r="G2583" i="6"/>
  <c r="F2583" i="6"/>
  <c r="E2583" i="6"/>
  <c r="F2582" i="6"/>
  <c r="G2582" i="6" s="1"/>
  <c r="E2582" i="6"/>
  <c r="G2581" i="6"/>
  <c r="F2581" i="6"/>
  <c r="E2581" i="6"/>
  <c r="F2580" i="6"/>
  <c r="G2580" i="6" s="1"/>
  <c r="E2580" i="6"/>
  <c r="G2579" i="6"/>
  <c r="F2579" i="6"/>
  <c r="E2579" i="6"/>
  <c r="F2578" i="6"/>
  <c r="G2578" i="6" s="1"/>
  <c r="E2578" i="6"/>
  <c r="G2577" i="6"/>
  <c r="F2577" i="6"/>
  <c r="E2577" i="6"/>
  <c r="E2587" i="6" s="1"/>
  <c r="F2576" i="6"/>
  <c r="G2576" i="6" s="1"/>
  <c r="E2576" i="6"/>
  <c r="B2569" i="6"/>
  <c r="G2568" i="6"/>
  <c r="B2568" i="6"/>
  <c r="B2567" i="6"/>
  <c r="B2566" i="6"/>
  <c r="F2559" i="6"/>
  <c r="G2559" i="6" s="1"/>
  <c r="D2559" i="6"/>
  <c r="B2559" i="6"/>
  <c r="A2559" i="6"/>
  <c r="F2558" i="6"/>
  <c r="G2558" i="6" s="1"/>
  <c r="D2558" i="6"/>
  <c r="B2558" i="6"/>
  <c r="A2558" i="6"/>
  <c r="F2553" i="6"/>
  <c r="G2553" i="6" s="1"/>
  <c r="D2553" i="6"/>
  <c r="B2553" i="6"/>
  <c r="A2553" i="6"/>
  <c r="F2552" i="6"/>
  <c r="G2552" i="6" s="1"/>
  <c r="D2552" i="6"/>
  <c r="B2552" i="6"/>
  <c r="A2552" i="6"/>
  <c r="F2551" i="6"/>
  <c r="G2551" i="6" s="1"/>
  <c r="D2551" i="6"/>
  <c r="B2551" i="6"/>
  <c r="A2551" i="6"/>
  <c r="F2550" i="6"/>
  <c r="G2550" i="6" s="1"/>
  <c r="D2550" i="6"/>
  <c r="B2550" i="6"/>
  <c r="A2550" i="6"/>
  <c r="F2549" i="6"/>
  <c r="G2549" i="6" s="1"/>
  <c r="D2549" i="6"/>
  <c r="B2549" i="6"/>
  <c r="A2549" i="6"/>
  <c r="F2548" i="6"/>
  <c r="G2548" i="6" s="1"/>
  <c r="D2548" i="6"/>
  <c r="B2548" i="6"/>
  <c r="A2548"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38" i="6"/>
  <c r="E2538" i="6"/>
  <c r="B2538" i="6"/>
  <c r="A2538" i="6"/>
  <c r="F2537" i="6"/>
  <c r="E2537" i="6"/>
  <c r="B2537" i="6"/>
  <c r="A2537" i="6"/>
  <c r="F2536" i="6"/>
  <c r="E2536" i="6"/>
  <c r="B2536" i="6"/>
  <c r="A2536" i="6"/>
  <c r="F2535" i="6"/>
  <c r="E2535" i="6"/>
  <c r="B2535" i="6"/>
  <c r="A2535" i="6"/>
  <c r="F2534" i="6"/>
  <c r="E2534" i="6"/>
  <c r="B2534" i="6"/>
  <c r="A2534" i="6"/>
  <c r="F2533" i="6"/>
  <c r="E2533" i="6"/>
  <c r="B2533" i="6"/>
  <c r="A2533" i="6"/>
  <c r="F2532" i="6"/>
  <c r="E2532" i="6"/>
  <c r="B2532" i="6"/>
  <c r="A2532" i="6"/>
  <c r="F2527" i="6"/>
  <c r="D2527" i="6"/>
  <c r="E2527" i="6" s="1"/>
  <c r="B2527" i="6"/>
  <c r="A2527" i="6"/>
  <c r="F2526" i="6"/>
  <c r="D2526" i="6"/>
  <c r="E2526" i="6" s="1"/>
  <c r="B2526" i="6"/>
  <c r="A2526" i="6"/>
  <c r="F2525" i="6"/>
  <c r="D2525" i="6"/>
  <c r="E2525" i="6" s="1"/>
  <c r="B2525" i="6"/>
  <c r="A2525" i="6"/>
  <c r="F2524" i="6"/>
  <c r="D2524" i="6"/>
  <c r="E2524" i="6" s="1"/>
  <c r="B2524" i="6"/>
  <c r="A2524" i="6"/>
  <c r="F2523" i="6"/>
  <c r="D2523" i="6"/>
  <c r="E2523" i="6" s="1"/>
  <c r="B2523" i="6"/>
  <c r="A2523" i="6"/>
  <c r="F2522" i="6"/>
  <c r="D2522" i="6"/>
  <c r="E2522" i="6" s="1"/>
  <c r="B2522" i="6"/>
  <c r="A2522" i="6"/>
  <c r="F2521" i="6"/>
  <c r="D2521" i="6"/>
  <c r="E2521" i="6" s="1"/>
  <c r="B2521" i="6"/>
  <c r="A2521" i="6"/>
  <c r="F2520" i="6"/>
  <c r="D2520" i="6"/>
  <c r="E2520" i="6" s="1"/>
  <c r="B2520" i="6"/>
  <c r="A2520" i="6"/>
  <c r="F2519" i="6"/>
  <c r="D2519" i="6"/>
  <c r="E2519" i="6" s="1"/>
  <c r="B2519" i="6"/>
  <c r="A2519" i="6"/>
  <c r="G2510" i="6"/>
  <c r="F2510" i="6"/>
  <c r="E2510" i="6"/>
  <c r="F2509" i="6"/>
  <c r="G2509" i="6" s="1"/>
  <c r="E2509" i="6"/>
  <c r="G2508" i="6"/>
  <c r="F2508" i="6"/>
  <c r="E2508" i="6"/>
  <c r="F2507" i="6"/>
  <c r="G2507" i="6" s="1"/>
  <c r="E2507" i="6"/>
  <c r="G2506" i="6"/>
  <c r="F2506" i="6"/>
  <c r="E2506" i="6"/>
  <c r="F2505" i="6"/>
  <c r="G2505" i="6" s="1"/>
  <c r="E2505" i="6"/>
  <c r="G2504" i="6"/>
  <c r="F2504" i="6"/>
  <c r="E2504" i="6"/>
  <c r="F2503" i="6"/>
  <c r="G2503" i="6" s="1"/>
  <c r="E2503" i="6"/>
  <c r="G2502" i="6"/>
  <c r="F2502" i="6"/>
  <c r="E2502" i="6"/>
  <c r="F2501" i="6"/>
  <c r="G2501" i="6" s="1"/>
  <c r="E2501" i="6"/>
  <c r="E2512" i="6" s="1"/>
  <c r="B2494" i="6"/>
  <c r="G2493" i="6"/>
  <c r="B2493" i="6"/>
  <c r="B2492" i="6"/>
  <c r="B2491" i="6"/>
  <c r="F2484" i="6"/>
  <c r="G2484" i="6" s="1"/>
  <c r="D2484" i="6"/>
  <c r="B2484" i="6"/>
  <c r="A2484" i="6"/>
  <c r="F2483" i="6"/>
  <c r="G2483" i="6" s="1"/>
  <c r="G2485" i="6" s="1"/>
  <c r="D2483" i="6"/>
  <c r="B2483" i="6"/>
  <c r="A2483" i="6"/>
  <c r="F2478" i="6"/>
  <c r="G2478" i="6" s="1"/>
  <c r="D2478" i="6"/>
  <c r="B2478" i="6"/>
  <c r="A2478" i="6"/>
  <c r="F2477" i="6"/>
  <c r="G2477" i="6" s="1"/>
  <c r="D2477" i="6"/>
  <c r="B2477" i="6"/>
  <c r="A2477" i="6"/>
  <c r="F2476" i="6"/>
  <c r="G2476" i="6" s="1"/>
  <c r="D2476" i="6"/>
  <c r="B2476" i="6"/>
  <c r="A2476"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3" i="6"/>
  <c r="E2463" i="6"/>
  <c r="B2463" i="6"/>
  <c r="A2463" i="6"/>
  <c r="F2462" i="6"/>
  <c r="E2462" i="6"/>
  <c r="B2462" i="6"/>
  <c r="A2462" i="6"/>
  <c r="F2461" i="6"/>
  <c r="E2461" i="6"/>
  <c r="B2461" i="6"/>
  <c r="A2461" i="6"/>
  <c r="F2460" i="6"/>
  <c r="E2460" i="6"/>
  <c r="B2460" i="6"/>
  <c r="A2460" i="6"/>
  <c r="F2459" i="6"/>
  <c r="E2459" i="6"/>
  <c r="B2459" i="6"/>
  <c r="A2459" i="6"/>
  <c r="F2458" i="6"/>
  <c r="E2458" i="6"/>
  <c r="B2458" i="6"/>
  <c r="A2458" i="6"/>
  <c r="F2457" i="6"/>
  <c r="E2457" i="6"/>
  <c r="B2457" i="6"/>
  <c r="A2457" i="6"/>
  <c r="F2452" i="6"/>
  <c r="D2452" i="6"/>
  <c r="E2452" i="6" s="1"/>
  <c r="B2452" i="6"/>
  <c r="A2452" i="6"/>
  <c r="F2451" i="6"/>
  <c r="D2451" i="6"/>
  <c r="E2451" i="6" s="1"/>
  <c r="B2451" i="6"/>
  <c r="A2451" i="6"/>
  <c r="F2450" i="6"/>
  <c r="D2450" i="6"/>
  <c r="E2450" i="6" s="1"/>
  <c r="B2450" i="6"/>
  <c r="A2450" i="6"/>
  <c r="F2449" i="6"/>
  <c r="D2449" i="6"/>
  <c r="E2449" i="6" s="1"/>
  <c r="B2449" i="6"/>
  <c r="A2449" i="6"/>
  <c r="F2448" i="6"/>
  <c r="D2448" i="6"/>
  <c r="E2448" i="6" s="1"/>
  <c r="B2448" i="6"/>
  <c r="A2448" i="6"/>
  <c r="F2447" i="6"/>
  <c r="D2447" i="6"/>
  <c r="E2447" i="6" s="1"/>
  <c r="B2447" i="6"/>
  <c r="A2447" i="6"/>
  <c r="F2446" i="6"/>
  <c r="D2446" i="6"/>
  <c r="E2446" i="6" s="1"/>
  <c r="B2446" i="6"/>
  <c r="A2446" i="6"/>
  <c r="F2445" i="6"/>
  <c r="D2445" i="6"/>
  <c r="E2445" i="6" s="1"/>
  <c r="B2445" i="6"/>
  <c r="A2445" i="6"/>
  <c r="F2444" i="6"/>
  <c r="D2444" i="6"/>
  <c r="E2444" i="6" s="1"/>
  <c r="B2444" i="6"/>
  <c r="A2444" i="6"/>
  <c r="G2435" i="6"/>
  <c r="F2435" i="6"/>
  <c r="E2435" i="6"/>
  <c r="G2434" i="6"/>
  <c r="F2434" i="6"/>
  <c r="E2434" i="6"/>
  <c r="F2433" i="6"/>
  <c r="G2433" i="6" s="1"/>
  <c r="E2433" i="6"/>
  <c r="F2432" i="6"/>
  <c r="G2432" i="6" s="1"/>
  <c r="E2432" i="6"/>
  <c r="G2431" i="6"/>
  <c r="F2431" i="6"/>
  <c r="E2431" i="6"/>
  <c r="G2430" i="6"/>
  <c r="F2430" i="6"/>
  <c r="E2430" i="6"/>
  <c r="F2429" i="6"/>
  <c r="G2429" i="6" s="1"/>
  <c r="E2429" i="6"/>
  <c r="F2428" i="6"/>
  <c r="G2428" i="6" s="1"/>
  <c r="E2428" i="6"/>
  <c r="E2437" i="6" s="1"/>
  <c r="G2427" i="6"/>
  <c r="F2427" i="6"/>
  <c r="E2427" i="6"/>
  <c r="G2426" i="6"/>
  <c r="F2426" i="6"/>
  <c r="E2426" i="6"/>
  <c r="B2419" i="6"/>
  <c r="G2418" i="6"/>
  <c r="B2418" i="6"/>
  <c r="B2417" i="6"/>
  <c r="B2416" i="6"/>
  <c r="F2409" i="6"/>
  <c r="G2409" i="6" s="1"/>
  <c r="D2409" i="6"/>
  <c r="B2409" i="6"/>
  <c r="A2409" i="6"/>
  <c r="F2408" i="6"/>
  <c r="G2408" i="6" s="1"/>
  <c r="D2408" i="6"/>
  <c r="B2408" i="6"/>
  <c r="A2408" i="6"/>
  <c r="F2403" i="6"/>
  <c r="G2403" i="6" s="1"/>
  <c r="D2403" i="6"/>
  <c r="B2403" i="6"/>
  <c r="A2403" i="6"/>
  <c r="F2402" i="6"/>
  <c r="G2402" i="6" s="1"/>
  <c r="D2402" i="6"/>
  <c r="B2402" i="6"/>
  <c r="A2402" i="6"/>
  <c r="F2401" i="6"/>
  <c r="G2401" i="6" s="1"/>
  <c r="D2401" i="6"/>
  <c r="B2401" i="6"/>
  <c r="A2401" i="6"/>
  <c r="F2400" i="6"/>
  <c r="G2400" i="6" s="1"/>
  <c r="D2400" i="6"/>
  <c r="B2400" i="6"/>
  <c r="A2400" i="6"/>
  <c r="F2399" i="6"/>
  <c r="G2399" i="6" s="1"/>
  <c r="D2399" i="6"/>
  <c r="B2399" i="6"/>
  <c r="A2399" i="6"/>
  <c r="F2398" i="6"/>
  <c r="G2398" i="6" s="1"/>
  <c r="D2398" i="6"/>
  <c r="B2398" i="6"/>
  <c r="A2398" i="6"/>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88" i="6"/>
  <c r="E2388" i="6"/>
  <c r="B2388" i="6"/>
  <c r="A2388" i="6"/>
  <c r="F2387" i="6"/>
  <c r="E2387" i="6"/>
  <c r="B2387" i="6"/>
  <c r="A2387" i="6"/>
  <c r="F2386" i="6"/>
  <c r="E2386" i="6"/>
  <c r="B2386" i="6"/>
  <c r="A2386" i="6"/>
  <c r="F2385" i="6"/>
  <c r="E2385" i="6"/>
  <c r="B2385" i="6"/>
  <c r="A2385" i="6"/>
  <c r="F2384" i="6"/>
  <c r="E2384" i="6"/>
  <c r="B2384" i="6"/>
  <c r="A2384" i="6"/>
  <c r="F2383" i="6"/>
  <c r="E2383" i="6"/>
  <c r="B2383" i="6"/>
  <c r="A2383" i="6"/>
  <c r="F2382" i="6"/>
  <c r="E2382" i="6"/>
  <c r="B2382" i="6"/>
  <c r="A2382" i="6"/>
  <c r="F2377" i="6"/>
  <c r="D2377" i="6"/>
  <c r="E2377" i="6" s="1"/>
  <c r="B2377" i="6"/>
  <c r="A2377" i="6"/>
  <c r="F2376" i="6"/>
  <c r="D2376" i="6"/>
  <c r="E2376" i="6" s="1"/>
  <c r="B2376" i="6"/>
  <c r="A2376" i="6"/>
  <c r="F2375" i="6"/>
  <c r="D2375" i="6"/>
  <c r="E2375" i="6" s="1"/>
  <c r="B2375" i="6"/>
  <c r="A2375" i="6"/>
  <c r="F2374" i="6"/>
  <c r="D2374" i="6"/>
  <c r="E2374" i="6" s="1"/>
  <c r="B2374" i="6"/>
  <c r="A2374" i="6"/>
  <c r="F2373" i="6"/>
  <c r="D2373" i="6"/>
  <c r="E2373" i="6" s="1"/>
  <c r="B2373" i="6"/>
  <c r="A2373" i="6"/>
  <c r="F2372" i="6"/>
  <c r="D2372" i="6"/>
  <c r="E2372" i="6" s="1"/>
  <c r="B2372" i="6"/>
  <c r="A2372" i="6"/>
  <c r="F2371" i="6"/>
  <c r="D2371" i="6"/>
  <c r="E2371" i="6" s="1"/>
  <c r="B2371" i="6"/>
  <c r="A2371" i="6"/>
  <c r="F2370" i="6"/>
  <c r="D2370" i="6"/>
  <c r="E2370" i="6" s="1"/>
  <c r="B2370" i="6"/>
  <c r="A2370" i="6"/>
  <c r="F2369" i="6"/>
  <c r="D2369" i="6"/>
  <c r="E2369" i="6" s="1"/>
  <c r="B2369" i="6"/>
  <c r="A2369" i="6"/>
  <c r="G2360" i="6"/>
  <c r="F2360" i="6"/>
  <c r="E2360" i="6"/>
  <c r="F2359" i="6"/>
  <c r="G2359" i="6" s="1"/>
  <c r="E2359" i="6"/>
  <c r="G2358" i="6"/>
  <c r="F2358" i="6"/>
  <c r="E2358" i="6"/>
  <c r="F2357" i="6"/>
  <c r="G2357" i="6" s="1"/>
  <c r="E2357" i="6"/>
  <c r="G2356" i="6"/>
  <c r="F2356" i="6"/>
  <c r="E2356" i="6"/>
  <c r="F2355" i="6"/>
  <c r="G2355" i="6" s="1"/>
  <c r="E2355" i="6"/>
  <c r="G2354" i="6"/>
  <c r="F2354" i="6"/>
  <c r="E2354" i="6"/>
  <c r="F2353" i="6"/>
  <c r="G2353" i="6" s="1"/>
  <c r="E2353" i="6"/>
  <c r="G2352" i="6"/>
  <c r="F2352" i="6"/>
  <c r="E2352" i="6"/>
  <c r="F2351" i="6"/>
  <c r="G2351" i="6" s="1"/>
  <c r="G2362" i="6" s="1"/>
  <c r="E2351" i="6"/>
  <c r="E2362" i="6" s="1"/>
  <c r="B2344" i="6"/>
  <c r="G2343" i="6"/>
  <c r="B2343" i="6"/>
  <c r="B2342" i="6"/>
  <c r="B2341" i="6"/>
  <c r="F2334" i="6"/>
  <c r="G2334" i="6" s="1"/>
  <c r="D2334" i="6"/>
  <c r="B2334" i="6"/>
  <c r="A2334" i="6"/>
  <c r="F2333" i="6"/>
  <c r="G2333" i="6" s="1"/>
  <c r="G2335" i="6" s="1"/>
  <c r="D2333" i="6"/>
  <c r="B2333" i="6"/>
  <c r="A2333" i="6"/>
  <c r="F2328" i="6"/>
  <c r="G2328" i="6" s="1"/>
  <c r="D2328" i="6"/>
  <c r="B2328" i="6"/>
  <c r="A2328" i="6"/>
  <c r="F2327" i="6"/>
  <c r="G2327" i="6" s="1"/>
  <c r="D2327" i="6"/>
  <c r="B2327" i="6"/>
  <c r="A2327" i="6"/>
  <c r="F2326" i="6"/>
  <c r="G2326" i="6" s="1"/>
  <c r="D2326" i="6"/>
  <c r="B2326" i="6"/>
  <c r="A2326"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3" i="6"/>
  <c r="E2313" i="6"/>
  <c r="B2313" i="6"/>
  <c r="A2313" i="6"/>
  <c r="F2312" i="6"/>
  <c r="E2312" i="6"/>
  <c r="B2312" i="6"/>
  <c r="A2312" i="6"/>
  <c r="F2311" i="6"/>
  <c r="E2311" i="6"/>
  <c r="B2311" i="6"/>
  <c r="A2311" i="6"/>
  <c r="F2310" i="6"/>
  <c r="E2310" i="6"/>
  <c r="B2310" i="6"/>
  <c r="A2310" i="6"/>
  <c r="F2309" i="6"/>
  <c r="E2309" i="6"/>
  <c r="B2309" i="6"/>
  <c r="A2309" i="6"/>
  <c r="F2308" i="6"/>
  <c r="E2308" i="6"/>
  <c r="B2308" i="6"/>
  <c r="A2308" i="6"/>
  <c r="F2307" i="6"/>
  <c r="E2307" i="6"/>
  <c r="B2307" i="6"/>
  <c r="A2307" i="6"/>
  <c r="F2302" i="6"/>
  <c r="D2302" i="6"/>
  <c r="E2302" i="6" s="1"/>
  <c r="B2302" i="6"/>
  <c r="A2302" i="6"/>
  <c r="F2301" i="6"/>
  <c r="D2301" i="6"/>
  <c r="E2301" i="6" s="1"/>
  <c r="B2301" i="6"/>
  <c r="A2301" i="6"/>
  <c r="F2300" i="6"/>
  <c r="D2300" i="6"/>
  <c r="E2300" i="6" s="1"/>
  <c r="B2300" i="6"/>
  <c r="A2300" i="6"/>
  <c r="F2299" i="6"/>
  <c r="D2299" i="6"/>
  <c r="E2299" i="6" s="1"/>
  <c r="B2299" i="6"/>
  <c r="A2299" i="6"/>
  <c r="F2298" i="6"/>
  <c r="D2298" i="6"/>
  <c r="E2298" i="6" s="1"/>
  <c r="B2298" i="6"/>
  <c r="A2298" i="6"/>
  <c r="F2297" i="6"/>
  <c r="D2297" i="6"/>
  <c r="E2297" i="6" s="1"/>
  <c r="B2297" i="6"/>
  <c r="A2297" i="6"/>
  <c r="F2296" i="6"/>
  <c r="D2296" i="6"/>
  <c r="E2296" i="6" s="1"/>
  <c r="B2296" i="6"/>
  <c r="A2296" i="6"/>
  <c r="F2295" i="6"/>
  <c r="D2295" i="6"/>
  <c r="E2295" i="6" s="1"/>
  <c r="B2295" i="6"/>
  <c r="A2295" i="6"/>
  <c r="F2294" i="6"/>
  <c r="D2294" i="6"/>
  <c r="E2294" i="6" s="1"/>
  <c r="B2294" i="6"/>
  <c r="A2294" i="6"/>
  <c r="G2285" i="6"/>
  <c r="F2285" i="6"/>
  <c r="E2285" i="6"/>
  <c r="G2284" i="6"/>
  <c r="F2284" i="6"/>
  <c r="E2284" i="6"/>
  <c r="F2283" i="6"/>
  <c r="G2283" i="6" s="1"/>
  <c r="E2283" i="6"/>
  <c r="F2282" i="6"/>
  <c r="G2282" i="6" s="1"/>
  <c r="E2282" i="6"/>
  <c r="G2281" i="6"/>
  <c r="F2281" i="6"/>
  <c r="E2281" i="6"/>
  <c r="G2280" i="6"/>
  <c r="F2280" i="6"/>
  <c r="E2280" i="6"/>
  <c r="F2279" i="6"/>
  <c r="G2279" i="6" s="1"/>
  <c r="E2279" i="6"/>
  <c r="F2278" i="6"/>
  <c r="G2278" i="6" s="1"/>
  <c r="E2278" i="6"/>
  <c r="E2287" i="6" s="1"/>
  <c r="G2277" i="6"/>
  <c r="F2277" i="6"/>
  <c r="E2277" i="6"/>
  <c r="G2276" i="6"/>
  <c r="F2276" i="6"/>
  <c r="E2276" i="6"/>
  <c r="B2269" i="6"/>
  <c r="G2268" i="6"/>
  <c r="B2268" i="6"/>
  <c r="B2267" i="6"/>
  <c r="B2266" i="6"/>
  <c r="F2243" i="6"/>
  <c r="F2244" i="6"/>
  <c r="F2245" i="6"/>
  <c r="F2246" i="6"/>
  <c r="F2247" i="6"/>
  <c r="F2248" i="6"/>
  <c r="F2249" i="6"/>
  <c r="F2250" i="6"/>
  <c r="F2251" i="6"/>
  <c r="F2252" i="6"/>
  <c r="D2243" i="6"/>
  <c r="D2244" i="6"/>
  <c r="D2245" i="6"/>
  <c r="D2246" i="6"/>
  <c r="D2247" i="6"/>
  <c r="D2248" i="6"/>
  <c r="D2249" i="6"/>
  <c r="D2250" i="6"/>
  <c r="D2251" i="6"/>
  <c r="D2252" i="6"/>
  <c r="A2243" i="6"/>
  <c r="B2243" i="6"/>
  <c r="A2244" i="6"/>
  <c r="B2244" i="6"/>
  <c r="A2245" i="6"/>
  <c r="B2245" i="6"/>
  <c r="A2246" i="6"/>
  <c r="B2246" i="6"/>
  <c r="A2247" i="6"/>
  <c r="B2247" i="6"/>
  <c r="A2248" i="6"/>
  <c r="B2248" i="6"/>
  <c r="A2249" i="6"/>
  <c r="B2249" i="6"/>
  <c r="A2250" i="6"/>
  <c r="B2250" i="6"/>
  <c r="A2251" i="6"/>
  <c r="B2251" i="6"/>
  <c r="A2252" i="6"/>
  <c r="B2252" i="6"/>
  <c r="E2232" i="6"/>
  <c r="E2233" i="6"/>
  <c r="E2234" i="6"/>
  <c r="E2235" i="6"/>
  <c r="E2236" i="6"/>
  <c r="E2237" i="6"/>
  <c r="F2168" i="6"/>
  <c r="F2169" i="6"/>
  <c r="F2170" i="6"/>
  <c r="F2171" i="6"/>
  <c r="F2172" i="6"/>
  <c r="F2173" i="6"/>
  <c r="F2174" i="6"/>
  <c r="F2175" i="6"/>
  <c r="F2176" i="6"/>
  <c r="F2177" i="6"/>
  <c r="D2168" i="6"/>
  <c r="D2169" i="6"/>
  <c r="D2170" i="6"/>
  <c r="D2171" i="6"/>
  <c r="D2172" i="6"/>
  <c r="D2173" i="6"/>
  <c r="D2174" i="6"/>
  <c r="D2175" i="6"/>
  <c r="D2176" i="6"/>
  <c r="D2177" i="6"/>
  <c r="A2168" i="6"/>
  <c r="B2168" i="6"/>
  <c r="A2169" i="6"/>
  <c r="B2169" i="6"/>
  <c r="A2170" i="6"/>
  <c r="B2170" i="6"/>
  <c r="A2171" i="6"/>
  <c r="B2171" i="6"/>
  <c r="A2172" i="6"/>
  <c r="B2172" i="6"/>
  <c r="A2173" i="6"/>
  <c r="B2173" i="6"/>
  <c r="A2174" i="6"/>
  <c r="B2174" i="6"/>
  <c r="A2175" i="6"/>
  <c r="B2175" i="6"/>
  <c r="A2176" i="6"/>
  <c r="B2176" i="6"/>
  <c r="A2177" i="6"/>
  <c r="B2177" i="6"/>
  <c r="F2157" i="6"/>
  <c r="F2158" i="6"/>
  <c r="F2159" i="6"/>
  <c r="F2160" i="6"/>
  <c r="F2161" i="6"/>
  <c r="F2162" i="6"/>
  <c r="A2157" i="6"/>
  <c r="B2157" i="6"/>
  <c r="A2158" i="6"/>
  <c r="B2158" i="6"/>
  <c r="A2159" i="6"/>
  <c r="B2159" i="6"/>
  <c r="A2160" i="6"/>
  <c r="B2160" i="6"/>
  <c r="A2161" i="6"/>
  <c r="B2161" i="6"/>
  <c r="A2162" i="6"/>
  <c r="B2162" i="6"/>
  <c r="E2157" i="6"/>
  <c r="E2158" i="6"/>
  <c r="E2159" i="6"/>
  <c r="E2160" i="6"/>
  <c r="E2161" i="6"/>
  <c r="E2162" i="6"/>
  <c r="F2090" i="6"/>
  <c r="F2091" i="6"/>
  <c r="F2092" i="6"/>
  <c r="F2093" i="6"/>
  <c r="F2094" i="6"/>
  <c r="F2095" i="6"/>
  <c r="F2096" i="6"/>
  <c r="F2097" i="6"/>
  <c r="F2098" i="6"/>
  <c r="F2099" i="6"/>
  <c r="F2100" i="6"/>
  <c r="F2101" i="6"/>
  <c r="F2102" i="6"/>
  <c r="D2090" i="6"/>
  <c r="D2091" i="6"/>
  <c r="D2092" i="6"/>
  <c r="D2093" i="6"/>
  <c r="D2094" i="6"/>
  <c r="D2095" i="6"/>
  <c r="D2096" i="6"/>
  <c r="D2097" i="6"/>
  <c r="D2098" i="6"/>
  <c r="D2099" i="6"/>
  <c r="D2100" i="6"/>
  <c r="D2101" i="6"/>
  <c r="D2102" i="6"/>
  <c r="A2090" i="6"/>
  <c r="B2090" i="6"/>
  <c r="A2091" i="6"/>
  <c r="B2091" i="6"/>
  <c r="A2092" i="6"/>
  <c r="B2092" i="6"/>
  <c r="A2093" i="6"/>
  <c r="B2093" i="6"/>
  <c r="A2094" i="6"/>
  <c r="B2094" i="6"/>
  <c r="A2095" i="6"/>
  <c r="B2095" i="6"/>
  <c r="A2096" i="6"/>
  <c r="B2096" i="6"/>
  <c r="A2097" i="6"/>
  <c r="B2097" i="6"/>
  <c r="A2098" i="6"/>
  <c r="B2098" i="6"/>
  <c r="A2099" i="6"/>
  <c r="B2099" i="6"/>
  <c r="A2100" i="6"/>
  <c r="B2100" i="6"/>
  <c r="A2101" i="6"/>
  <c r="B2101" i="6"/>
  <c r="A2102" i="6"/>
  <c r="B2102" i="6"/>
  <c r="E2079" i="6"/>
  <c r="E2080" i="6"/>
  <c r="E2081" i="6"/>
  <c r="E2082" i="6"/>
  <c r="E2083" i="6"/>
  <c r="E2084" i="6"/>
  <c r="A2079" i="6"/>
  <c r="B2079" i="6"/>
  <c r="A2080" i="6"/>
  <c r="B2080" i="6"/>
  <c r="A2081" i="6"/>
  <c r="B2081" i="6"/>
  <c r="A2082" i="6"/>
  <c r="B2082" i="6"/>
  <c r="A2083" i="6"/>
  <c r="B2083" i="6"/>
  <c r="A2084" i="6"/>
  <c r="B2084" i="6"/>
  <c r="F2066" i="6"/>
  <c r="F2067" i="6"/>
  <c r="F2068" i="6"/>
  <c r="F2069" i="6"/>
  <c r="D2066" i="6"/>
  <c r="D2067" i="6"/>
  <c r="E2067" i="6" s="1"/>
  <c r="D2068" i="6"/>
  <c r="E2068" i="6" s="1"/>
  <c r="D2069" i="6"/>
  <c r="E2069" i="6" s="1"/>
  <c r="D2070" i="6"/>
  <c r="E2070" i="6" s="1"/>
  <c r="D2071" i="6"/>
  <c r="E2071" i="6" s="1"/>
  <c r="D2072" i="6"/>
  <c r="E2072" i="6" s="1"/>
  <c r="D2073" i="6"/>
  <c r="E2073" i="6" s="1"/>
  <c r="A2066" i="6"/>
  <c r="B2066" i="6"/>
  <c r="A2067" i="6"/>
  <c r="B2067" i="6"/>
  <c r="A2068" i="6"/>
  <c r="B2068" i="6"/>
  <c r="A2069" i="6"/>
  <c r="B2069" i="6"/>
  <c r="A2070" i="6"/>
  <c r="B2070" i="6"/>
  <c r="A2071" i="6"/>
  <c r="B2071" i="6"/>
  <c r="A2072" i="6"/>
  <c r="B2072" i="6"/>
  <c r="A2073" i="6"/>
  <c r="B2073" i="6"/>
  <c r="F2015" i="6"/>
  <c r="G2015" i="6" s="1"/>
  <c r="F2016" i="6"/>
  <c r="F2017" i="6"/>
  <c r="F2018" i="6"/>
  <c r="F2019" i="6"/>
  <c r="F2020" i="6"/>
  <c r="F2021" i="6"/>
  <c r="F2022" i="6"/>
  <c r="F2023" i="6"/>
  <c r="D2015" i="6"/>
  <c r="D2016" i="6"/>
  <c r="D2017" i="6"/>
  <c r="D2018" i="6"/>
  <c r="D2019" i="6"/>
  <c r="D2020" i="6"/>
  <c r="D2021" i="6"/>
  <c r="D2022" i="6"/>
  <c r="D2023" i="6"/>
  <c r="D2024" i="6"/>
  <c r="A2015" i="6"/>
  <c r="B2015" i="6"/>
  <c r="A2016" i="6"/>
  <c r="B2016" i="6"/>
  <c r="A2017" i="6"/>
  <c r="B2017" i="6"/>
  <c r="A2018" i="6"/>
  <c r="B2018" i="6"/>
  <c r="A2019" i="6"/>
  <c r="B2019" i="6"/>
  <c r="A2020" i="6"/>
  <c r="B2020" i="6"/>
  <c r="A2021" i="6"/>
  <c r="B2021" i="6"/>
  <c r="A2022" i="6"/>
  <c r="B2022" i="6"/>
  <c r="A2023" i="6"/>
  <c r="B2023" i="6"/>
  <c r="A2024" i="6"/>
  <c r="B2024" i="6"/>
  <c r="A2004" i="6"/>
  <c r="B2004" i="6"/>
  <c r="A2005" i="6"/>
  <c r="B2005" i="6"/>
  <c r="A2006" i="6"/>
  <c r="B2006" i="6"/>
  <c r="A2007" i="6"/>
  <c r="B2007" i="6"/>
  <c r="A2008" i="6"/>
  <c r="B2008" i="6"/>
  <c r="A2009" i="6"/>
  <c r="B2009" i="6"/>
  <c r="E2004" i="6"/>
  <c r="E2005" i="6"/>
  <c r="E2006" i="6"/>
  <c r="E2007" i="6"/>
  <c r="E2008" i="6"/>
  <c r="E2009" i="6"/>
  <c r="F1991" i="6"/>
  <c r="F1992" i="6"/>
  <c r="F1993" i="6"/>
  <c r="F1994" i="6"/>
  <c r="F1995" i="6"/>
  <c r="F1996" i="6"/>
  <c r="F1997" i="6"/>
  <c r="F1998" i="6"/>
  <c r="D1991" i="6"/>
  <c r="D1992" i="6"/>
  <c r="E1992" i="6" s="1"/>
  <c r="D1993" i="6"/>
  <c r="E1993" i="6" s="1"/>
  <c r="D1994" i="6"/>
  <c r="E1994" i="6" s="1"/>
  <c r="D1995" i="6"/>
  <c r="E1995" i="6" s="1"/>
  <c r="D1996" i="6"/>
  <c r="E1996" i="6" s="1"/>
  <c r="D1997" i="6"/>
  <c r="E1997" i="6" s="1"/>
  <c r="D1998" i="6"/>
  <c r="E1998" i="6" s="1"/>
  <c r="G1973" i="6"/>
  <c r="F1973" i="6"/>
  <c r="F1974" i="6"/>
  <c r="F1975" i="6"/>
  <c r="F1976" i="6"/>
  <c r="F1977" i="6"/>
  <c r="F1978" i="6"/>
  <c r="F1979" i="6"/>
  <c r="F1980" i="6"/>
  <c r="F1981" i="6"/>
  <c r="E1973" i="6"/>
  <c r="E1974" i="6"/>
  <c r="E1975" i="6"/>
  <c r="E1976" i="6"/>
  <c r="E1977" i="6"/>
  <c r="E1978" i="6"/>
  <c r="E1979" i="6"/>
  <c r="E1980" i="6"/>
  <c r="E1981" i="6"/>
  <c r="F1940" i="6"/>
  <c r="F1941" i="6"/>
  <c r="F1942" i="6"/>
  <c r="F1943" i="6"/>
  <c r="F1944" i="6"/>
  <c r="F1945" i="6"/>
  <c r="F1946" i="6"/>
  <c r="F1947" i="6"/>
  <c r="F1948" i="6"/>
  <c r="F1949" i="6"/>
  <c r="D1940" i="6"/>
  <c r="D1941" i="6"/>
  <c r="D1942" i="6"/>
  <c r="D1943" i="6"/>
  <c r="D1944" i="6"/>
  <c r="D1945" i="6"/>
  <c r="D1946" i="6"/>
  <c r="D1947" i="6"/>
  <c r="D1948" i="6"/>
  <c r="D1949" i="6"/>
  <c r="A1940" i="6"/>
  <c r="B1940" i="6"/>
  <c r="A1941" i="6"/>
  <c r="B1941" i="6"/>
  <c r="A1942" i="6"/>
  <c r="B1942" i="6"/>
  <c r="A1943" i="6"/>
  <c r="B1943" i="6"/>
  <c r="A1944" i="6"/>
  <c r="B1944" i="6"/>
  <c r="A1945" i="6"/>
  <c r="B1945" i="6"/>
  <c r="A1946" i="6"/>
  <c r="B1946" i="6"/>
  <c r="A1947" i="6"/>
  <c r="B1947" i="6"/>
  <c r="A1948" i="6"/>
  <c r="B1948" i="6"/>
  <c r="A1949" i="6"/>
  <c r="B1949" i="6"/>
  <c r="F1929" i="6"/>
  <c r="F1930" i="6"/>
  <c r="F1931" i="6"/>
  <c r="F1932" i="6"/>
  <c r="F1933" i="6"/>
  <c r="F1934" i="6"/>
  <c r="E1929" i="6"/>
  <c r="E1930" i="6"/>
  <c r="E1931" i="6"/>
  <c r="E1932" i="6"/>
  <c r="E1933" i="6"/>
  <c r="E1934" i="6"/>
  <c r="A1929" i="6"/>
  <c r="B1929" i="6"/>
  <c r="A1930" i="6"/>
  <c r="B1930" i="6"/>
  <c r="A1931" i="6"/>
  <c r="B1931" i="6"/>
  <c r="A1932" i="6"/>
  <c r="B1932" i="6"/>
  <c r="A1933" i="6"/>
  <c r="B1933" i="6"/>
  <c r="A1934" i="6"/>
  <c r="B1934" i="6"/>
  <c r="F1916" i="6"/>
  <c r="F1917" i="6"/>
  <c r="F1918" i="6"/>
  <c r="F1919" i="6"/>
  <c r="F1920" i="6"/>
  <c r="F1921" i="6"/>
  <c r="F1922" i="6"/>
  <c r="F1923" i="6"/>
  <c r="D1916" i="6"/>
  <c r="D1917" i="6"/>
  <c r="E1917" i="6" s="1"/>
  <c r="D1918" i="6"/>
  <c r="E1918" i="6" s="1"/>
  <c r="D1919" i="6"/>
  <c r="E1919" i="6" s="1"/>
  <c r="D1920" i="6"/>
  <c r="E1920" i="6" s="1"/>
  <c r="D1921" i="6"/>
  <c r="E1921" i="6" s="1"/>
  <c r="D1922" i="6"/>
  <c r="E1922" i="6" s="1"/>
  <c r="D1923" i="6"/>
  <c r="E1923" i="6" s="1"/>
  <c r="A1916" i="6"/>
  <c r="B1916" i="6"/>
  <c r="A1918" i="6"/>
  <c r="B1918" i="6"/>
  <c r="A1919" i="6"/>
  <c r="B1919" i="6"/>
  <c r="A1920" i="6"/>
  <c r="B1920" i="6"/>
  <c r="A1921" i="6"/>
  <c r="B1921" i="6"/>
  <c r="A1922" i="6"/>
  <c r="B1922" i="6"/>
  <c r="A1923" i="6"/>
  <c r="B1923" i="6"/>
  <c r="F1898" i="6"/>
  <c r="F1899" i="6"/>
  <c r="F1900" i="6"/>
  <c r="F1901" i="6"/>
  <c r="F1902" i="6"/>
  <c r="F1903" i="6"/>
  <c r="F1904" i="6"/>
  <c r="F1905" i="6"/>
  <c r="F1906" i="6"/>
  <c r="E1898" i="6"/>
  <c r="E1899" i="6"/>
  <c r="E1900" i="6"/>
  <c r="E1901" i="6"/>
  <c r="E1902" i="6"/>
  <c r="E1903" i="6"/>
  <c r="E1904" i="6"/>
  <c r="E1905" i="6"/>
  <c r="E1906" i="6"/>
  <c r="F1854" i="6"/>
  <c r="F1855" i="6"/>
  <c r="F1856" i="6"/>
  <c r="F1857" i="6"/>
  <c r="F1858" i="6"/>
  <c r="F1859" i="6"/>
  <c r="F1860" i="6"/>
  <c r="F1861" i="6"/>
  <c r="F1862" i="6"/>
  <c r="F1863" i="6"/>
  <c r="F1864" i="6"/>
  <c r="F1865" i="6"/>
  <c r="F1866" i="6"/>
  <c r="F1867" i="6"/>
  <c r="F1868" i="6"/>
  <c r="F1869" i="6"/>
  <c r="F1870" i="6"/>
  <c r="F1871" i="6"/>
  <c r="F1872" i="6"/>
  <c r="F1873" i="6"/>
  <c r="F1874" i="6"/>
  <c r="D1854" i="6"/>
  <c r="D1855" i="6"/>
  <c r="D1856" i="6"/>
  <c r="D1857" i="6"/>
  <c r="D1858" i="6"/>
  <c r="D1859" i="6"/>
  <c r="D1860" i="6"/>
  <c r="D1861" i="6"/>
  <c r="D1862" i="6"/>
  <c r="D1863" i="6"/>
  <c r="D1864" i="6"/>
  <c r="D1865" i="6"/>
  <c r="D1866" i="6"/>
  <c r="D1867" i="6"/>
  <c r="D1868" i="6"/>
  <c r="D1869" i="6"/>
  <c r="D1870" i="6"/>
  <c r="D1871" i="6"/>
  <c r="D1872" i="6"/>
  <c r="D1873" i="6"/>
  <c r="D1874" i="6"/>
  <c r="A1854" i="6"/>
  <c r="B1854" i="6"/>
  <c r="A1855" i="6"/>
  <c r="B1855" i="6"/>
  <c r="A1856" i="6"/>
  <c r="B1856" i="6"/>
  <c r="A1857" i="6"/>
  <c r="B1857" i="6"/>
  <c r="A1858" i="6"/>
  <c r="B1858" i="6"/>
  <c r="A1859" i="6"/>
  <c r="B1859" i="6"/>
  <c r="A1860" i="6"/>
  <c r="B1860" i="6"/>
  <c r="A1861" i="6"/>
  <c r="B1861" i="6"/>
  <c r="A1862" i="6"/>
  <c r="B1862" i="6"/>
  <c r="A1863" i="6"/>
  <c r="B1863" i="6"/>
  <c r="A1864" i="6"/>
  <c r="B1864" i="6"/>
  <c r="A1865" i="6"/>
  <c r="B1865" i="6"/>
  <c r="A1866" i="6"/>
  <c r="B1866" i="6"/>
  <c r="A1867" i="6"/>
  <c r="B1867" i="6"/>
  <c r="A1868" i="6"/>
  <c r="B1868" i="6"/>
  <c r="A1869" i="6"/>
  <c r="B1869" i="6"/>
  <c r="A1870" i="6"/>
  <c r="B1870" i="6"/>
  <c r="A1871" i="6"/>
  <c r="B1871" i="6"/>
  <c r="A1872" i="6"/>
  <c r="B1872" i="6"/>
  <c r="A1873" i="6"/>
  <c r="B1873" i="6"/>
  <c r="A1874" i="6"/>
  <c r="B1874" i="6"/>
  <c r="E1843" i="6"/>
  <c r="E1844" i="6"/>
  <c r="E1845" i="6"/>
  <c r="E1846" i="6"/>
  <c r="E1847" i="6"/>
  <c r="E1848" i="6"/>
  <c r="A1843" i="6"/>
  <c r="B1843" i="6"/>
  <c r="A1844" i="6"/>
  <c r="B1844" i="6"/>
  <c r="A1845" i="6"/>
  <c r="B1845" i="6"/>
  <c r="A1846" i="6"/>
  <c r="B1846" i="6"/>
  <c r="A1847" i="6"/>
  <c r="B1847" i="6"/>
  <c r="A1848" i="6"/>
  <c r="B1848" i="6"/>
  <c r="F1830" i="6"/>
  <c r="F1831" i="6"/>
  <c r="F1832" i="6"/>
  <c r="F1833" i="6"/>
  <c r="F1834" i="6"/>
  <c r="F1835" i="6"/>
  <c r="F1836" i="6"/>
  <c r="F1837" i="6"/>
  <c r="D1830" i="6"/>
  <c r="D1831" i="6"/>
  <c r="E1831" i="6" s="1"/>
  <c r="D1832" i="6"/>
  <c r="E1832" i="6" s="1"/>
  <c r="D1833" i="6"/>
  <c r="E1833" i="6" s="1"/>
  <c r="D1834" i="6"/>
  <c r="E1834" i="6" s="1"/>
  <c r="D1835" i="6"/>
  <c r="E1835" i="6" s="1"/>
  <c r="D1836" i="6"/>
  <c r="E1836" i="6" s="1"/>
  <c r="D1837" i="6"/>
  <c r="E1837" i="6" s="1"/>
  <c r="A1830" i="6"/>
  <c r="B1830" i="6"/>
  <c r="A1831" i="6"/>
  <c r="B1831" i="6"/>
  <c r="A1832" i="6"/>
  <c r="B1832" i="6"/>
  <c r="A1833" i="6"/>
  <c r="B1833" i="6"/>
  <c r="A1834" i="6"/>
  <c r="B1834" i="6"/>
  <c r="A1835" i="6"/>
  <c r="B1835" i="6"/>
  <c r="A1836" i="6"/>
  <c r="B1836" i="6"/>
  <c r="A1837" i="6"/>
  <c r="B1837" i="6"/>
  <c r="F1812" i="6"/>
  <c r="F1813" i="6"/>
  <c r="F1814" i="6"/>
  <c r="F1815" i="6"/>
  <c r="F1816" i="6"/>
  <c r="F1817" i="6"/>
  <c r="F1818" i="6"/>
  <c r="F1819" i="6"/>
  <c r="F1820" i="6"/>
  <c r="E1812" i="6"/>
  <c r="E1813" i="6"/>
  <c r="E1814" i="6"/>
  <c r="E1815" i="6"/>
  <c r="E1816" i="6"/>
  <c r="E1817" i="6"/>
  <c r="E1818" i="6"/>
  <c r="E1819" i="6"/>
  <c r="E1820" i="6"/>
  <c r="F1779" i="6"/>
  <c r="F1780" i="6"/>
  <c r="F1781" i="6"/>
  <c r="F1782" i="6"/>
  <c r="F1783" i="6"/>
  <c r="F1784" i="6"/>
  <c r="F1785" i="6"/>
  <c r="F1786" i="6"/>
  <c r="F1787" i="6"/>
  <c r="F1788" i="6"/>
  <c r="D1779" i="6"/>
  <c r="D1780" i="6"/>
  <c r="D1781" i="6"/>
  <c r="D1782" i="6"/>
  <c r="D1783" i="6"/>
  <c r="D1784" i="6"/>
  <c r="D1785" i="6"/>
  <c r="D1786" i="6"/>
  <c r="D1787" i="6"/>
  <c r="D1788" i="6"/>
  <c r="A1779" i="6"/>
  <c r="B1779" i="6"/>
  <c r="A1780" i="6"/>
  <c r="B1780" i="6"/>
  <c r="A1781" i="6"/>
  <c r="B1781" i="6"/>
  <c r="A1782" i="6"/>
  <c r="B1782" i="6"/>
  <c r="A1783" i="6"/>
  <c r="B1783" i="6"/>
  <c r="A1784" i="6"/>
  <c r="B1784" i="6"/>
  <c r="A1785" i="6"/>
  <c r="B1785" i="6"/>
  <c r="A1786" i="6"/>
  <c r="B1786" i="6"/>
  <c r="A1787" i="6"/>
  <c r="B1787" i="6"/>
  <c r="A1788" i="6"/>
  <c r="B1788" i="6"/>
  <c r="F1768" i="6"/>
  <c r="F1769" i="6"/>
  <c r="F1770" i="6"/>
  <c r="F1771" i="6"/>
  <c r="F1772" i="6"/>
  <c r="F1773" i="6"/>
  <c r="E1768" i="6"/>
  <c r="E1769" i="6"/>
  <c r="E1770" i="6"/>
  <c r="E1771" i="6"/>
  <c r="E1772" i="6"/>
  <c r="E1773" i="6"/>
  <c r="A1768" i="6"/>
  <c r="B1768" i="6"/>
  <c r="A1769" i="6"/>
  <c r="B1769" i="6"/>
  <c r="A1770" i="6"/>
  <c r="B1770" i="6"/>
  <c r="A1771" i="6"/>
  <c r="B1771" i="6"/>
  <c r="A1772" i="6"/>
  <c r="B1772" i="6"/>
  <c r="A1773" i="6"/>
  <c r="B1773" i="6"/>
  <c r="F1755" i="6"/>
  <c r="F1756" i="6"/>
  <c r="F1757" i="6"/>
  <c r="F1758" i="6"/>
  <c r="F1759" i="6"/>
  <c r="F1760" i="6"/>
  <c r="F1761" i="6"/>
  <c r="F1762" i="6"/>
  <c r="D1755" i="6"/>
  <c r="D1756" i="6"/>
  <c r="E1756" i="6" s="1"/>
  <c r="D1757" i="6"/>
  <c r="E1757" i="6" s="1"/>
  <c r="D1758" i="6"/>
  <c r="E1758" i="6" s="1"/>
  <c r="D1759" i="6"/>
  <c r="E1759" i="6" s="1"/>
  <c r="D1760" i="6"/>
  <c r="E1760" i="6" s="1"/>
  <c r="D1761" i="6"/>
  <c r="E1761" i="6" s="1"/>
  <c r="D1762" i="6"/>
  <c r="E1762" i="6" s="1"/>
  <c r="A1755" i="6"/>
  <c r="B1755" i="6"/>
  <c r="A1756" i="6"/>
  <c r="B1756" i="6"/>
  <c r="A1757" i="6"/>
  <c r="B1757" i="6"/>
  <c r="A1758" i="6"/>
  <c r="B1758" i="6"/>
  <c r="A1759" i="6"/>
  <c r="B1759" i="6"/>
  <c r="A1760" i="6"/>
  <c r="B1760" i="6"/>
  <c r="A1761" i="6"/>
  <c r="B1761" i="6"/>
  <c r="A1762" i="6"/>
  <c r="B1762" i="6"/>
  <c r="F1737" i="6"/>
  <c r="F1738" i="6"/>
  <c r="F1739" i="6"/>
  <c r="F1740" i="6"/>
  <c r="F1741" i="6"/>
  <c r="F1742" i="6"/>
  <c r="F1743" i="6"/>
  <c r="F1744" i="6"/>
  <c r="F1745" i="6"/>
  <c r="E1737" i="6"/>
  <c r="E1738" i="6"/>
  <c r="E1739" i="6"/>
  <c r="E1740" i="6"/>
  <c r="E1741" i="6"/>
  <c r="E1742" i="6"/>
  <c r="E1743" i="6"/>
  <c r="E1744" i="6"/>
  <c r="E1745" i="6"/>
  <c r="F1704" i="6"/>
  <c r="F1705" i="6"/>
  <c r="F1706" i="6"/>
  <c r="F1707" i="6"/>
  <c r="F1708" i="6"/>
  <c r="F1709" i="6"/>
  <c r="F1710" i="6"/>
  <c r="F1711" i="6"/>
  <c r="F1712" i="6"/>
  <c r="F1713" i="6"/>
  <c r="D1704" i="6"/>
  <c r="D1705" i="6"/>
  <c r="D1706" i="6"/>
  <c r="D1707" i="6"/>
  <c r="D1708" i="6"/>
  <c r="D1709" i="6"/>
  <c r="D1710" i="6"/>
  <c r="D1711" i="6"/>
  <c r="D1712" i="6"/>
  <c r="D1713" i="6"/>
  <c r="A1704" i="6"/>
  <c r="B1704" i="6"/>
  <c r="A1705" i="6"/>
  <c r="B1705" i="6"/>
  <c r="A1706" i="6"/>
  <c r="B1706" i="6"/>
  <c r="A1707" i="6"/>
  <c r="B1707" i="6"/>
  <c r="A1708" i="6"/>
  <c r="B1708" i="6"/>
  <c r="A1709" i="6"/>
  <c r="B1709" i="6"/>
  <c r="A1710" i="6"/>
  <c r="B1710" i="6"/>
  <c r="A1711" i="6"/>
  <c r="B1711" i="6"/>
  <c r="A1712" i="6"/>
  <c r="B1712" i="6"/>
  <c r="A1713" i="6"/>
  <c r="B1713" i="6"/>
  <c r="F1693" i="6"/>
  <c r="F1694" i="6"/>
  <c r="F1695" i="6"/>
  <c r="F1696" i="6"/>
  <c r="F1697" i="6"/>
  <c r="F1698" i="6"/>
  <c r="E1693" i="6"/>
  <c r="E1694" i="6"/>
  <c r="E1695" i="6"/>
  <c r="E1696" i="6"/>
  <c r="E1697" i="6"/>
  <c r="E1698" i="6"/>
  <c r="A1693" i="6"/>
  <c r="B1693" i="6"/>
  <c r="A1694" i="6"/>
  <c r="B1694" i="6"/>
  <c r="A1695" i="6"/>
  <c r="B1695" i="6"/>
  <c r="A1696" i="6"/>
  <c r="B1696" i="6"/>
  <c r="A1697" i="6"/>
  <c r="B1697" i="6"/>
  <c r="A1698" i="6"/>
  <c r="B1698" i="6"/>
  <c r="F1680" i="6"/>
  <c r="F1681" i="6"/>
  <c r="F1682" i="6"/>
  <c r="F1683" i="6"/>
  <c r="F1684" i="6"/>
  <c r="F1685" i="6"/>
  <c r="F1686" i="6"/>
  <c r="F1687" i="6"/>
  <c r="D1680" i="6"/>
  <c r="D1681" i="6"/>
  <c r="E1681" i="6" s="1"/>
  <c r="D1682" i="6"/>
  <c r="E1682" i="6" s="1"/>
  <c r="D1683" i="6"/>
  <c r="E1683" i="6" s="1"/>
  <c r="D1684" i="6"/>
  <c r="E1684" i="6" s="1"/>
  <c r="D1685" i="6"/>
  <c r="E1685" i="6" s="1"/>
  <c r="D1686" i="6"/>
  <c r="E1686" i="6" s="1"/>
  <c r="D1687" i="6"/>
  <c r="E1687" i="6" s="1"/>
  <c r="A1680" i="6"/>
  <c r="B1680" i="6"/>
  <c r="A1681" i="6"/>
  <c r="B1681" i="6"/>
  <c r="A1682" i="6"/>
  <c r="B1682" i="6"/>
  <c r="A1683" i="6"/>
  <c r="B1683" i="6"/>
  <c r="A1684" i="6"/>
  <c r="B1684" i="6"/>
  <c r="A1685" i="6"/>
  <c r="B1685" i="6"/>
  <c r="A1686" i="6"/>
  <c r="B1686" i="6"/>
  <c r="F1629" i="6"/>
  <c r="F1630" i="6"/>
  <c r="F1631" i="6"/>
  <c r="F1632" i="6"/>
  <c r="F1633" i="6"/>
  <c r="F1634" i="6"/>
  <c r="F1635" i="6"/>
  <c r="F1636" i="6"/>
  <c r="F1637" i="6"/>
  <c r="F1638" i="6"/>
  <c r="D1629" i="6"/>
  <c r="D1630" i="6"/>
  <c r="D1631" i="6"/>
  <c r="D1632" i="6"/>
  <c r="D1633" i="6"/>
  <c r="D1634" i="6"/>
  <c r="D1635" i="6"/>
  <c r="D1636" i="6"/>
  <c r="D1637" i="6"/>
  <c r="D1638" i="6"/>
  <c r="A1629" i="6"/>
  <c r="B1629" i="6"/>
  <c r="A1630" i="6"/>
  <c r="B1630" i="6"/>
  <c r="A1631" i="6"/>
  <c r="B1631" i="6"/>
  <c r="A1632" i="6"/>
  <c r="B1632" i="6"/>
  <c r="A1633" i="6"/>
  <c r="B1633" i="6"/>
  <c r="A1634" i="6"/>
  <c r="B1634" i="6"/>
  <c r="A1635" i="6"/>
  <c r="B1635" i="6"/>
  <c r="A1636" i="6"/>
  <c r="B1636" i="6"/>
  <c r="A1637" i="6"/>
  <c r="B1637" i="6"/>
  <c r="A1638" i="6"/>
  <c r="B1638" i="6"/>
  <c r="F1618" i="6"/>
  <c r="F1619" i="6"/>
  <c r="F1620" i="6"/>
  <c r="F1621" i="6"/>
  <c r="F1622" i="6"/>
  <c r="F1623" i="6"/>
  <c r="E1618" i="6"/>
  <c r="E1619" i="6"/>
  <c r="E1620" i="6"/>
  <c r="E1621" i="6"/>
  <c r="E1622" i="6"/>
  <c r="E1623" i="6"/>
  <c r="A1618" i="6"/>
  <c r="B1618" i="6"/>
  <c r="A1619" i="6"/>
  <c r="B1619" i="6"/>
  <c r="A1620" i="6"/>
  <c r="B1620" i="6"/>
  <c r="A1621" i="6"/>
  <c r="B1621" i="6"/>
  <c r="A1622" i="6"/>
  <c r="B1622" i="6"/>
  <c r="A1623" i="6"/>
  <c r="B1623" i="6"/>
  <c r="F1605" i="6"/>
  <c r="F1606" i="6"/>
  <c r="F1607" i="6"/>
  <c r="F1608" i="6"/>
  <c r="F1609" i="6"/>
  <c r="F1610" i="6"/>
  <c r="F1611" i="6"/>
  <c r="F1612" i="6"/>
  <c r="D1605" i="6"/>
  <c r="D1606" i="6"/>
  <c r="E1606" i="6" s="1"/>
  <c r="D1607" i="6"/>
  <c r="E1607" i="6" s="1"/>
  <c r="D1608" i="6"/>
  <c r="E1608" i="6" s="1"/>
  <c r="D1609" i="6"/>
  <c r="E1609" i="6" s="1"/>
  <c r="D1610" i="6"/>
  <c r="E1610" i="6" s="1"/>
  <c r="D1611" i="6"/>
  <c r="E1611" i="6" s="1"/>
  <c r="D1612" i="6"/>
  <c r="E1612" i="6" s="1"/>
  <c r="A1605" i="6"/>
  <c r="B1605" i="6"/>
  <c r="A1606" i="6"/>
  <c r="B1606" i="6"/>
  <c r="A1607" i="6"/>
  <c r="B1607" i="6"/>
  <c r="A1608" i="6"/>
  <c r="B1608" i="6"/>
  <c r="A1609" i="6"/>
  <c r="B1609" i="6"/>
  <c r="A1610" i="6"/>
  <c r="B1610" i="6"/>
  <c r="E1587" i="6"/>
  <c r="E1588" i="6"/>
  <c r="E1589" i="6"/>
  <c r="E1590" i="6"/>
  <c r="E1591" i="6"/>
  <c r="E1592" i="6"/>
  <c r="E1593" i="6"/>
  <c r="E1594" i="6"/>
  <c r="E1595" i="6"/>
  <c r="F1554" i="6"/>
  <c r="F1555" i="6"/>
  <c r="F1556" i="6"/>
  <c r="F1557" i="6"/>
  <c r="F1558" i="6"/>
  <c r="F1559" i="6"/>
  <c r="F1560" i="6"/>
  <c r="F1561" i="6"/>
  <c r="F1562" i="6"/>
  <c r="F1563" i="6"/>
  <c r="D1554" i="6"/>
  <c r="D1555" i="6"/>
  <c r="D1556" i="6"/>
  <c r="D1557" i="6"/>
  <c r="D1558" i="6"/>
  <c r="D1559" i="6"/>
  <c r="D1560" i="6"/>
  <c r="D1561" i="6"/>
  <c r="D1562" i="6"/>
  <c r="D1563" i="6"/>
  <c r="A1554" i="6"/>
  <c r="B1554" i="6"/>
  <c r="A1555" i="6"/>
  <c r="B1555" i="6"/>
  <c r="A1556" i="6"/>
  <c r="B1556" i="6"/>
  <c r="A1557" i="6"/>
  <c r="B1557" i="6"/>
  <c r="A1558" i="6"/>
  <c r="B1558" i="6"/>
  <c r="A1559" i="6"/>
  <c r="B1559" i="6"/>
  <c r="A1560" i="6"/>
  <c r="B1560" i="6"/>
  <c r="A1561" i="6"/>
  <c r="B1561" i="6"/>
  <c r="A1562" i="6"/>
  <c r="B1562" i="6"/>
  <c r="A1563" i="6"/>
  <c r="B1563" i="6"/>
  <c r="F1543" i="6"/>
  <c r="F1544" i="6"/>
  <c r="F1545" i="6"/>
  <c r="F1546" i="6"/>
  <c r="F1547" i="6"/>
  <c r="F1548" i="6"/>
  <c r="E1543" i="6"/>
  <c r="E1544" i="6"/>
  <c r="E1545" i="6"/>
  <c r="E1546" i="6"/>
  <c r="E1547" i="6"/>
  <c r="E1548" i="6"/>
  <c r="A1543" i="6"/>
  <c r="B1543" i="6"/>
  <c r="A1544" i="6"/>
  <c r="B1544" i="6"/>
  <c r="A1545" i="6"/>
  <c r="B1545" i="6"/>
  <c r="A1546" i="6"/>
  <c r="B1546" i="6"/>
  <c r="A1547" i="6"/>
  <c r="B1547" i="6"/>
  <c r="A1548" i="6"/>
  <c r="B1548" i="6"/>
  <c r="F1530" i="6"/>
  <c r="F1531" i="6"/>
  <c r="F1532" i="6"/>
  <c r="F1533" i="6"/>
  <c r="F1534" i="6"/>
  <c r="F1535" i="6"/>
  <c r="F1536" i="6"/>
  <c r="F1537" i="6"/>
  <c r="D1530" i="6"/>
  <c r="D1531" i="6"/>
  <c r="E1531" i="6" s="1"/>
  <c r="D1532" i="6"/>
  <c r="E1532" i="6" s="1"/>
  <c r="D1533" i="6"/>
  <c r="E1533" i="6" s="1"/>
  <c r="D1534" i="6"/>
  <c r="E1534" i="6" s="1"/>
  <c r="D1535" i="6"/>
  <c r="E1535" i="6" s="1"/>
  <c r="D1536" i="6"/>
  <c r="E1536" i="6" s="1"/>
  <c r="D1537" i="6"/>
  <c r="E1537" i="6" s="1"/>
  <c r="A1530" i="6"/>
  <c r="B1530" i="6"/>
  <c r="A1531" i="6"/>
  <c r="B1531" i="6"/>
  <c r="A1532" i="6"/>
  <c r="B1532" i="6"/>
  <c r="A1533" i="6"/>
  <c r="B1533" i="6"/>
  <c r="A1534" i="6"/>
  <c r="B1534" i="6"/>
  <c r="A1535" i="6"/>
  <c r="B1535" i="6"/>
  <c r="A1536" i="6"/>
  <c r="B1536" i="6"/>
  <c r="A1537" i="6"/>
  <c r="B1537" i="6"/>
  <c r="F1512" i="6"/>
  <c r="F1513" i="6"/>
  <c r="F1514" i="6"/>
  <c r="F1515" i="6"/>
  <c r="F1516" i="6"/>
  <c r="F1517" i="6"/>
  <c r="F1518" i="6"/>
  <c r="F1519" i="6"/>
  <c r="F1520" i="6"/>
  <c r="E1512" i="6"/>
  <c r="E1513" i="6"/>
  <c r="E1514" i="6"/>
  <c r="E1515" i="6"/>
  <c r="E1516" i="6"/>
  <c r="E1517" i="6"/>
  <c r="E1518" i="6"/>
  <c r="E1519" i="6"/>
  <c r="E1520" i="6"/>
  <c r="F1479" i="6"/>
  <c r="F1480" i="6"/>
  <c r="F1481" i="6"/>
  <c r="F1482" i="6"/>
  <c r="F1483" i="6"/>
  <c r="F1484" i="6"/>
  <c r="F1485" i="6"/>
  <c r="F1486" i="6"/>
  <c r="F1487" i="6"/>
  <c r="F1488" i="6"/>
  <c r="D1479" i="6"/>
  <c r="D1480" i="6"/>
  <c r="D1481" i="6"/>
  <c r="D1482" i="6"/>
  <c r="D1483" i="6"/>
  <c r="D1484" i="6"/>
  <c r="D1485" i="6"/>
  <c r="D1486" i="6"/>
  <c r="D1487" i="6"/>
  <c r="D1488" i="6"/>
  <c r="A1479" i="6"/>
  <c r="B1479" i="6"/>
  <c r="A1480" i="6"/>
  <c r="B1480" i="6"/>
  <c r="A1481" i="6"/>
  <c r="B1481" i="6"/>
  <c r="A1482" i="6"/>
  <c r="B1482" i="6"/>
  <c r="A1483" i="6"/>
  <c r="B1483" i="6"/>
  <c r="A1484" i="6"/>
  <c r="B1484" i="6"/>
  <c r="A1485" i="6"/>
  <c r="B1485" i="6"/>
  <c r="A1486" i="6"/>
  <c r="B1486" i="6"/>
  <c r="A1487" i="6"/>
  <c r="B1487" i="6"/>
  <c r="A1488" i="6"/>
  <c r="B1488" i="6"/>
  <c r="F1468" i="6"/>
  <c r="F1469" i="6"/>
  <c r="F1470" i="6"/>
  <c r="F1471" i="6"/>
  <c r="F1472" i="6"/>
  <c r="F1473" i="6"/>
  <c r="E1468" i="6"/>
  <c r="E1469" i="6"/>
  <c r="E1470" i="6"/>
  <c r="E1471" i="6"/>
  <c r="E1472" i="6"/>
  <c r="E1473" i="6"/>
  <c r="A1468" i="6"/>
  <c r="B1468" i="6"/>
  <c r="A1469" i="6"/>
  <c r="B1469" i="6"/>
  <c r="A1470" i="6"/>
  <c r="B1470" i="6"/>
  <c r="A1471" i="6"/>
  <c r="B1471" i="6"/>
  <c r="A1472" i="6"/>
  <c r="B1472" i="6"/>
  <c r="A1473" i="6"/>
  <c r="B1473" i="6"/>
  <c r="F1455" i="6"/>
  <c r="F1456" i="6"/>
  <c r="F1457" i="6"/>
  <c r="F1458" i="6"/>
  <c r="F1459" i="6"/>
  <c r="F1460" i="6"/>
  <c r="F1461" i="6"/>
  <c r="F1462" i="6"/>
  <c r="D1455" i="6"/>
  <c r="D1456" i="6"/>
  <c r="E1456" i="6" s="1"/>
  <c r="D1457" i="6"/>
  <c r="E1457" i="6" s="1"/>
  <c r="D1458" i="6"/>
  <c r="E1458" i="6" s="1"/>
  <c r="D1459" i="6"/>
  <c r="E1459" i="6" s="1"/>
  <c r="D1460" i="6"/>
  <c r="E1460" i="6" s="1"/>
  <c r="D1461" i="6"/>
  <c r="E1461" i="6" s="1"/>
  <c r="D1462" i="6"/>
  <c r="E1462" i="6" s="1"/>
  <c r="A1455" i="6"/>
  <c r="B1455" i="6"/>
  <c r="A1456" i="6"/>
  <c r="B1456" i="6"/>
  <c r="A1457" i="6"/>
  <c r="B1457" i="6"/>
  <c r="A1458" i="6"/>
  <c r="B1458" i="6"/>
  <c r="A1459" i="6"/>
  <c r="B1459" i="6"/>
  <c r="A1460" i="6"/>
  <c r="B1460" i="6"/>
  <c r="A1461" i="6"/>
  <c r="B1461" i="6"/>
  <c r="A1462" i="6"/>
  <c r="B1462" i="6"/>
  <c r="F1437" i="6"/>
  <c r="F1438" i="6"/>
  <c r="F1439" i="6"/>
  <c r="F1440" i="6"/>
  <c r="F1441" i="6"/>
  <c r="F1442" i="6"/>
  <c r="F1443" i="6"/>
  <c r="F1444" i="6"/>
  <c r="F1445" i="6"/>
  <c r="E1437" i="6"/>
  <c r="E1438" i="6"/>
  <c r="E1439" i="6"/>
  <c r="E1440" i="6"/>
  <c r="E1441" i="6"/>
  <c r="E1442" i="6"/>
  <c r="E1443" i="6"/>
  <c r="E1444" i="6"/>
  <c r="E1445" i="6"/>
  <c r="F1404" i="6"/>
  <c r="F1405" i="6"/>
  <c r="F1406" i="6"/>
  <c r="F1407" i="6"/>
  <c r="F1408" i="6"/>
  <c r="F1409" i="6"/>
  <c r="F1410" i="6"/>
  <c r="F1411" i="6"/>
  <c r="F1412" i="6"/>
  <c r="F1413" i="6"/>
  <c r="D1404" i="6"/>
  <c r="D1405" i="6"/>
  <c r="D1406" i="6"/>
  <c r="D1407" i="6"/>
  <c r="D1408" i="6"/>
  <c r="D1409" i="6"/>
  <c r="D1410" i="6"/>
  <c r="D1411" i="6"/>
  <c r="D1412" i="6"/>
  <c r="D1413" i="6"/>
  <c r="A1404" i="6"/>
  <c r="B1404" i="6"/>
  <c r="A1405" i="6"/>
  <c r="B1405" i="6"/>
  <c r="A1406" i="6"/>
  <c r="B1406" i="6"/>
  <c r="A1407" i="6"/>
  <c r="B1407" i="6"/>
  <c r="A1408" i="6"/>
  <c r="B1408" i="6"/>
  <c r="A1409" i="6"/>
  <c r="B1409" i="6"/>
  <c r="A1410" i="6"/>
  <c r="B1410" i="6"/>
  <c r="A1411" i="6"/>
  <c r="B1411" i="6"/>
  <c r="A1412" i="6"/>
  <c r="B1412" i="6"/>
  <c r="A1413" i="6"/>
  <c r="B1413" i="6"/>
  <c r="F1393" i="6"/>
  <c r="F1394" i="6"/>
  <c r="F1395" i="6"/>
  <c r="F1396" i="6"/>
  <c r="F1397" i="6"/>
  <c r="F1398" i="6"/>
  <c r="E1393" i="6"/>
  <c r="E1394" i="6"/>
  <c r="E1395" i="6"/>
  <c r="E1396" i="6"/>
  <c r="E1397" i="6"/>
  <c r="E1398" i="6"/>
  <c r="A1393" i="6"/>
  <c r="B1393" i="6"/>
  <c r="A1394" i="6"/>
  <c r="B1394" i="6"/>
  <c r="A1395" i="6"/>
  <c r="B1395" i="6"/>
  <c r="A1396" i="6"/>
  <c r="B1396" i="6"/>
  <c r="A1397" i="6"/>
  <c r="B1397" i="6"/>
  <c r="A1398" i="6"/>
  <c r="B1398" i="6"/>
  <c r="F1380" i="6"/>
  <c r="F1381" i="6"/>
  <c r="F1382" i="6"/>
  <c r="F1383" i="6"/>
  <c r="F1384" i="6"/>
  <c r="F1385" i="6"/>
  <c r="F1386" i="6"/>
  <c r="F1387" i="6"/>
  <c r="D1380" i="6"/>
  <c r="E1380" i="6" s="1"/>
  <c r="D1381" i="6"/>
  <c r="E1381" i="6" s="1"/>
  <c r="D1382" i="6"/>
  <c r="E1382" i="6" s="1"/>
  <c r="D1383" i="6"/>
  <c r="E1383" i="6" s="1"/>
  <c r="D1384" i="6"/>
  <c r="E1384" i="6" s="1"/>
  <c r="D1385" i="6"/>
  <c r="E1385" i="6" s="1"/>
  <c r="D1386" i="6"/>
  <c r="E1386" i="6" s="1"/>
  <c r="D1387" i="6"/>
  <c r="E1387" i="6" s="1"/>
  <c r="A1380" i="6"/>
  <c r="B1380" i="6"/>
  <c r="A1381" i="6"/>
  <c r="B1381" i="6"/>
  <c r="A1382" i="6"/>
  <c r="B1382" i="6"/>
  <c r="A1383" i="6"/>
  <c r="B1383" i="6"/>
  <c r="A1384" i="6"/>
  <c r="B1384" i="6"/>
  <c r="A1385" i="6"/>
  <c r="B1385" i="6"/>
  <c r="A1386" i="6"/>
  <c r="B1386" i="6"/>
  <c r="A1387" i="6"/>
  <c r="B1387" i="6"/>
  <c r="E1362" i="6"/>
  <c r="F1362" i="6"/>
  <c r="E1363" i="6"/>
  <c r="F1363" i="6"/>
  <c r="E1364" i="6"/>
  <c r="F1364" i="6"/>
  <c r="E1365" i="6"/>
  <c r="F1365" i="6"/>
  <c r="E1366" i="6"/>
  <c r="F1366" i="6"/>
  <c r="E1367" i="6"/>
  <c r="F1367" i="6"/>
  <c r="E1368" i="6"/>
  <c r="F1368" i="6"/>
  <c r="E1369" i="6"/>
  <c r="F1369" i="6"/>
  <c r="E1370" i="6"/>
  <c r="F1370" i="6"/>
  <c r="F1329" i="6"/>
  <c r="F1330" i="6"/>
  <c r="F1331" i="6"/>
  <c r="F1332" i="6"/>
  <c r="F1333" i="6"/>
  <c r="F1334" i="6"/>
  <c r="F1335" i="6"/>
  <c r="F1336" i="6"/>
  <c r="F1337" i="6"/>
  <c r="F1338" i="6"/>
  <c r="D1329" i="6"/>
  <c r="D1330" i="6"/>
  <c r="D1331" i="6"/>
  <c r="D1332" i="6"/>
  <c r="D1333" i="6"/>
  <c r="D1334" i="6"/>
  <c r="D1335" i="6"/>
  <c r="D1336" i="6"/>
  <c r="D1337" i="6"/>
  <c r="D1338" i="6"/>
  <c r="E1318" i="6"/>
  <c r="E1319" i="6"/>
  <c r="E1320" i="6"/>
  <c r="E1321" i="6"/>
  <c r="E1322" i="6"/>
  <c r="E1323" i="6"/>
  <c r="F1305" i="6"/>
  <c r="F1306" i="6"/>
  <c r="F1307" i="6"/>
  <c r="F1308" i="6"/>
  <c r="F1309" i="6"/>
  <c r="F1310" i="6"/>
  <c r="F1311" i="6"/>
  <c r="F1312" i="6"/>
  <c r="D1305" i="6"/>
  <c r="D1306" i="6"/>
  <c r="E1306" i="6" s="1"/>
  <c r="D1307" i="6"/>
  <c r="E1307" i="6" s="1"/>
  <c r="D1308" i="6"/>
  <c r="E1308" i="6" s="1"/>
  <c r="D1309" i="6"/>
  <c r="E1309" i="6" s="1"/>
  <c r="D1310" i="6"/>
  <c r="E1310" i="6" s="1"/>
  <c r="D1311" i="6"/>
  <c r="E1311" i="6" s="1"/>
  <c r="D1312" i="6"/>
  <c r="E1312" i="6" s="1"/>
  <c r="A1306" i="6"/>
  <c r="B1306" i="6"/>
  <c r="A1307" i="6"/>
  <c r="B1307" i="6"/>
  <c r="A1308" i="6"/>
  <c r="B1308" i="6"/>
  <c r="A1309" i="6"/>
  <c r="B1309" i="6"/>
  <c r="A1310" i="6"/>
  <c r="B1310" i="6"/>
  <c r="A1311" i="6"/>
  <c r="B1311" i="6"/>
  <c r="A1312" i="6"/>
  <c r="B1312" i="6"/>
  <c r="A1313" i="6"/>
  <c r="B1313" i="6"/>
  <c r="F1287" i="6"/>
  <c r="F1288" i="6"/>
  <c r="F1289" i="6"/>
  <c r="F1290" i="6"/>
  <c r="F1291" i="6"/>
  <c r="F1292" i="6"/>
  <c r="F1293" i="6"/>
  <c r="F1294" i="6"/>
  <c r="F1295" i="6"/>
  <c r="E1287" i="6"/>
  <c r="E1288" i="6"/>
  <c r="E1289" i="6"/>
  <c r="E1290" i="6"/>
  <c r="E1291" i="6"/>
  <c r="E1292" i="6"/>
  <c r="E1293" i="6"/>
  <c r="E1294" i="6"/>
  <c r="E1295" i="6"/>
  <c r="F1254" i="6"/>
  <c r="F1255" i="6"/>
  <c r="F1256" i="6"/>
  <c r="F1257" i="6"/>
  <c r="F1258" i="6"/>
  <c r="F1259" i="6"/>
  <c r="F1260" i="6"/>
  <c r="F1261" i="6"/>
  <c r="D1254" i="6"/>
  <c r="D1255" i="6"/>
  <c r="D1256" i="6"/>
  <c r="D1257" i="6"/>
  <c r="D1258" i="6"/>
  <c r="D1259" i="6"/>
  <c r="D1260" i="6"/>
  <c r="D1261" i="6"/>
  <c r="D1262" i="6"/>
  <c r="D1263" i="6"/>
  <c r="F1248" i="6"/>
  <c r="F1243" i="6"/>
  <c r="F1244" i="6"/>
  <c r="F1245" i="6"/>
  <c r="F1246" i="6"/>
  <c r="E1243" i="6"/>
  <c r="E1244" i="6"/>
  <c r="E1245" i="6"/>
  <c r="E1246" i="6"/>
  <c r="A1243" i="6"/>
  <c r="B1243" i="6"/>
  <c r="A1244" i="6"/>
  <c r="B1244" i="6"/>
  <c r="A1245" i="6"/>
  <c r="B1245" i="6"/>
  <c r="A1246" i="6"/>
  <c r="B1246" i="6"/>
  <c r="F1230" i="6"/>
  <c r="F1231" i="6"/>
  <c r="F1232" i="6"/>
  <c r="F1233" i="6"/>
  <c r="F1234" i="6"/>
  <c r="D1235" i="6"/>
  <c r="E1235" i="6" s="1"/>
  <c r="D1236" i="6"/>
  <c r="E1236" i="6" s="1"/>
  <c r="D1237" i="6"/>
  <c r="E1237" i="6" s="1"/>
  <c r="D1238" i="6"/>
  <c r="E1238" i="6" s="1"/>
  <c r="D1230" i="6"/>
  <c r="D1231" i="6"/>
  <c r="E1231" i="6" s="1"/>
  <c r="D1232" i="6"/>
  <c r="E1232" i="6" s="1"/>
  <c r="D1233" i="6"/>
  <c r="E1233" i="6" s="1"/>
  <c r="F1212" i="6"/>
  <c r="F1213" i="6"/>
  <c r="F1214" i="6"/>
  <c r="F1215" i="6"/>
  <c r="F1216" i="6"/>
  <c r="E1212" i="6"/>
  <c r="E1213" i="6"/>
  <c r="E1214" i="6"/>
  <c r="E1215" i="6"/>
  <c r="E1216" i="6"/>
  <c r="D1180" i="6"/>
  <c r="D1181" i="6"/>
  <c r="D1182" i="6"/>
  <c r="D1183" i="6"/>
  <c r="D1184" i="6"/>
  <c r="D1185" i="6"/>
  <c r="D1186" i="6"/>
  <c r="D1187" i="6"/>
  <c r="D1188" i="6"/>
  <c r="D1189" i="6"/>
  <c r="A1180" i="6"/>
  <c r="B1180" i="6"/>
  <c r="A1181" i="6"/>
  <c r="B1181" i="6"/>
  <c r="A1182" i="6"/>
  <c r="B1182" i="6"/>
  <c r="A1183" i="6"/>
  <c r="B1183" i="6"/>
  <c r="A1184" i="6"/>
  <c r="B1184" i="6"/>
  <c r="A1185" i="6"/>
  <c r="B1185" i="6"/>
  <c r="A1186" i="6"/>
  <c r="B1186" i="6"/>
  <c r="A1187" i="6"/>
  <c r="B1187" i="6"/>
  <c r="A1188" i="6"/>
  <c r="B1188" i="6"/>
  <c r="A1189" i="6"/>
  <c r="B1189" i="6"/>
  <c r="F1168" i="6"/>
  <c r="F1169" i="6"/>
  <c r="F1170" i="6"/>
  <c r="F1171" i="6"/>
  <c r="F1172" i="6"/>
  <c r="F1173" i="6"/>
  <c r="E1172" i="6"/>
  <c r="E1173" i="6"/>
  <c r="E1174" i="6"/>
  <c r="E1168" i="6"/>
  <c r="E1169" i="6"/>
  <c r="E1170" i="6"/>
  <c r="E1171" i="6"/>
  <c r="B1168" i="6"/>
  <c r="B1169" i="6"/>
  <c r="B1170" i="6"/>
  <c r="B1171" i="6"/>
  <c r="A1168" i="6"/>
  <c r="A1169" i="6"/>
  <c r="A1170" i="6"/>
  <c r="A1171" i="6"/>
  <c r="F1155" i="6"/>
  <c r="F1156" i="6"/>
  <c r="F1157" i="6"/>
  <c r="F1158" i="6"/>
  <c r="D1155" i="6"/>
  <c r="D1156" i="6"/>
  <c r="D1157" i="6"/>
  <c r="D1158" i="6"/>
  <c r="E1158" i="6" s="1"/>
  <c r="B1155" i="6"/>
  <c r="B1156" i="6"/>
  <c r="B1157" i="6"/>
  <c r="B1158" i="6"/>
  <c r="A1155" i="6"/>
  <c r="A1156" i="6"/>
  <c r="A1157" i="6"/>
  <c r="A1158" i="6"/>
  <c r="F1137" i="6"/>
  <c r="F1138" i="6"/>
  <c r="F1139" i="6"/>
  <c r="F1140" i="6"/>
  <c r="F1141" i="6"/>
  <c r="E1137" i="6"/>
  <c r="E1138" i="6"/>
  <c r="E1139" i="6"/>
  <c r="E1140" i="6"/>
  <c r="E1141" i="6"/>
  <c r="F1105" i="6"/>
  <c r="F1106" i="6"/>
  <c r="F1107" i="6"/>
  <c r="F1108" i="6"/>
  <c r="F1109" i="6"/>
  <c r="F1110" i="6"/>
  <c r="F1111" i="6"/>
  <c r="F1112" i="6"/>
  <c r="F1113" i="6"/>
  <c r="F1114" i="6"/>
  <c r="F1104" i="6"/>
  <c r="A1104" i="6"/>
  <c r="B1104" i="6"/>
  <c r="A1105" i="6"/>
  <c r="B1105" i="6"/>
  <c r="A1106" i="6"/>
  <c r="B1106" i="6"/>
  <c r="A1107" i="6"/>
  <c r="B1107" i="6"/>
  <c r="A1108" i="6"/>
  <c r="B1108" i="6"/>
  <c r="A1109" i="6"/>
  <c r="B1109" i="6"/>
  <c r="A1110" i="6"/>
  <c r="B1110" i="6"/>
  <c r="A1111" i="6"/>
  <c r="B1111" i="6"/>
  <c r="A1112" i="6"/>
  <c r="B1112" i="6"/>
  <c r="F1094" i="6"/>
  <c r="F1095" i="6"/>
  <c r="F1096" i="6"/>
  <c r="F1097" i="6"/>
  <c r="F1098" i="6"/>
  <c r="F1099" i="6"/>
  <c r="F1093" i="6"/>
  <c r="E1094" i="6"/>
  <c r="E1095" i="6"/>
  <c r="E1096" i="6"/>
  <c r="E1097" i="6"/>
  <c r="E1098" i="6"/>
  <c r="E1099" i="6"/>
  <c r="E1093" i="6"/>
  <c r="A1093" i="6"/>
  <c r="B1093" i="6"/>
  <c r="A1094" i="6"/>
  <c r="B1094" i="6"/>
  <c r="A1095" i="6"/>
  <c r="B1095" i="6"/>
  <c r="A1096" i="6"/>
  <c r="B1096" i="6"/>
  <c r="A1097" i="6"/>
  <c r="B1097" i="6"/>
  <c r="F1080" i="6"/>
  <c r="F1081" i="6"/>
  <c r="F1082" i="6"/>
  <c r="F1083" i="6"/>
  <c r="D1080" i="6"/>
  <c r="D1081" i="6"/>
  <c r="E1081" i="6" s="1"/>
  <c r="D1082" i="6"/>
  <c r="E1082" i="6" s="1"/>
  <c r="D1083" i="6"/>
  <c r="E1083" i="6" s="1"/>
  <c r="A1080" i="6"/>
  <c r="B1080" i="6"/>
  <c r="A1081" i="6"/>
  <c r="B1081" i="6"/>
  <c r="A1082" i="6"/>
  <c r="B1082" i="6"/>
  <c r="A1083" i="6"/>
  <c r="B1083" i="6"/>
  <c r="A1084" i="6"/>
  <c r="B1084" i="6"/>
  <c r="A1085" i="6"/>
  <c r="B1085" i="6"/>
  <c r="A1086" i="6"/>
  <c r="B1086" i="6"/>
  <c r="F1062" i="6"/>
  <c r="F1063" i="6"/>
  <c r="F1064" i="6"/>
  <c r="F1065" i="6"/>
  <c r="F1066" i="6"/>
  <c r="F1067" i="6"/>
  <c r="F1068" i="6"/>
  <c r="F1069" i="6"/>
  <c r="F1070" i="6"/>
  <c r="E1062" i="6"/>
  <c r="E1063" i="6"/>
  <c r="E1064" i="6"/>
  <c r="E1065" i="6"/>
  <c r="F1030" i="6"/>
  <c r="F1031" i="6"/>
  <c r="F1032" i="6"/>
  <c r="F1033" i="6"/>
  <c r="F1034" i="6"/>
  <c r="F1035" i="6"/>
  <c r="F1036" i="6"/>
  <c r="F1037" i="6"/>
  <c r="F1038" i="6"/>
  <c r="F1039" i="6"/>
  <c r="F1029" i="6"/>
  <c r="A1029" i="6"/>
  <c r="B1029" i="6"/>
  <c r="A1030" i="6"/>
  <c r="B1030" i="6"/>
  <c r="A1031" i="6"/>
  <c r="B1031" i="6"/>
  <c r="A1032" i="6"/>
  <c r="B1032" i="6"/>
  <c r="A1033" i="6"/>
  <c r="B1033" i="6"/>
  <c r="A1034" i="6"/>
  <c r="B1034" i="6"/>
  <c r="A1035" i="6"/>
  <c r="B1035" i="6"/>
  <c r="A1036" i="6"/>
  <c r="B1036" i="6"/>
  <c r="A1037" i="6"/>
  <c r="B1037" i="6"/>
  <c r="A1038" i="6"/>
  <c r="B1038" i="6"/>
  <c r="F1018" i="6"/>
  <c r="F1019" i="6"/>
  <c r="F1020" i="6"/>
  <c r="F1021" i="6"/>
  <c r="E1018" i="6"/>
  <c r="E1019" i="6"/>
  <c r="E1020" i="6"/>
  <c r="E1021" i="6"/>
  <c r="A1018" i="6"/>
  <c r="B1018" i="6"/>
  <c r="A1019" i="6"/>
  <c r="B1019" i="6"/>
  <c r="A1020" i="6"/>
  <c r="B1020" i="6"/>
  <c r="A1021" i="6"/>
  <c r="B1021" i="6"/>
  <c r="A1022" i="6"/>
  <c r="B1022" i="6"/>
  <c r="A1023" i="6"/>
  <c r="B1023" i="6"/>
  <c r="F1013" i="6"/>
  <c r="F1005" i="6"/>
  <c r="F1006" i="6"/>
  <c r="F1007" i="6"/>
  <c r="F1008" i="6"/>
  <c r="F1009" i="6"/>
  <c r="F1010" i="6"/>
  <c r="F1011" i="6"/>
  <c r="D1005" i="6"/>
  <c r="D1006" i="6"/>
  <c r="E1006" i="6" s="1"/>
  <c r="D1007" i="6"/>
  <c r="E1007" i="6" s="1"/>
  <c r="D1008" i="6"/>
  <c r="E1008" i="6" s="1"/>
  <c r="A1006" i="6"/>
  <c r="B1006" i="6"/>
  <c r="A1007" i="6"/>
  <c r="B1007" i="6"/>
  <c r="A1008" i="6"/>
  <c r="B1008" i="6"/>
  <c r="A1009" i="6"/>
  <c r="B1009" i="6"/>
  <c r="A1010" i="6"/>
  <c r="B1010" i="6"/>
  <c r="A1011" i="6"/>
  <c r="B1011" i="6"/>
  <c r="A1012" i="6"/>
  <c r="B1012" i="6"/>
  <c r="A1013" i="6"/>
  <c r="B1013" i="6"/>
  <c r="F987" i="6"/>
  <c r="F988" i="6"/>
  <c r="F989" i="6"/>
  <c r="E987" i="6"/>
  <c r="E988" i="6"/>
  <c r="E989" i="6"/>
  <c r="F954" i="6"/>
  <c r="F955" i="6"/>
  <c r="F956" i="6"/>
  <c r="F948" i="6"/>
  <c r="F949" i="6"/>
  <c r="F943" i="6"/>
  <c r="F944" i="6"/>
  <c r="F945" i="6"/>
  <c r="F946" i="6"/>
  <c r="E943" i="6"/>
  <c r="E944" i="6"/>
  <c r="E945" i="6"/>
  <c r="E946" i="6"/>
  <c r="A943" i="6"/>
  <c r="B943" i="6"/>
  <c r="A944" i="6"/>
  <c r="B944" i="6"/>
  <c r="A945" i="6"/>
  <c r="B945" i="6"/>
  <c r="A946" i="6"/>
  <c r="B946" i="6"/>
  <c r="F935" i="6"/>
  <c r="F936" i="6"/>
  <c r="F937" i="6"/>
  <c r="F938" i="6"/>
  <c r="F930" i="6"/>
  <c r="F931" i="6"/>
  <c r="F932" i="6"/>
  <c r="F933" i="6"/>
  <c r="D930" i="6"/>
  <c r="D931" i="6"/>
  <c r="E931" i="6" s="1"/>
  <c r="D932" i="6"/>
  <c r="E932" i="6" s="1"/>
  <c r="D933" i="6"/>
  <c r="E933" i="6" s="1"/>
  <c r="A930" i="6"/>
  <c r="B930" i="6"/>
  <c r="A931" i="6"/>
  <c r="B931" i="6"/>
  <c r="F912" i="6"/>
  <c r="F913" i="6"/>
  <c r="F914" i="6"/>
  <c r="F915" i="6"/>
  <c r="E912" i="6"/>
  <c r="E913" i="6"/>
  <c r="E914" i="6"/>
  <c r="E915" i="6"/>
  <c r="F879" i="6"/>
  <c r="F880" i="6"/>
  <c r="F881" i="6"/>
  <c r="F868" i="6"/>
  <c r="F869" i="6"/>
  <c r="F870" i="6"/>
  <c r="F871" i="6"/>
  <c r="F872" i="6"/>
  <c r="F873" i="6"/>
  <c r="E869" i="6"/>
  <c r="B868" i="6"/>
  <c r="B869" i="6"/>
  <c r="B870" i="6"/>
  <c r="B871" i="6"/>
  <c r="B872" i="6"/>
  <c r="B873" i="6"/>
  <c r="A868" i="6"/>
  <c r="A869" i="6"/>
  <c r="A870" i="6"/>
  <c r="A871" i="6"/>
  <c r="A872" i="6"/>
  <c r="A873" i="6"/>
  <c r="F861" i="6"/>
  <c r="F862" i="6"/>
  <c r="F863" i="6"/>
  <c r="F855" i="6"/>
  <c r="F856" i="6"/>
  <c r="F857" i="6"/>
  <c r="F858" i="6"/>
  <c r="F859" i="6"/>
  <c r="D855" i="6"/>
  <c r="D856" i="6"/>
  <c r="E856" i="6" s="1"/>
  <c r="D857" i="6"/>
  <c r="E857" i="6" s="1"/>
  <c r="D858" i="6"/>
  <c r="E858" i="6" s="1"/>
  <c r="F837" i="6"/>
  <c r="F838" i="6"/>
  <c r="F839" i="6"/>
  <c r="F840" i="6"/>
  <c r="E837" i="6"/>
  <c r="E838" i="6"/>
  <c r="E839" i="6"/>
  <c r="E840" i="6"/>
  <c r="F804" i="6"/>
  <c r="D804" i="6"/>
  <c r="D805" i="6"/>
  <c r="A793" i="6"/>
  <c r="A794" i="6"/>
  <c r="A795" i="6"/>
  <c r="A796" i="6"/>
  <c r="B793" i="6"/>
  <c r="B794" i="6"/>
  <c r="B795" i="6"/>
  <c r="B796" i="6"/>
  <c r="F794" i="6"/>
  <c r="F795" i="6"/>
  <c r="F796" i="6"/>
  <c r="F797" i="6"/>
  <c r="F798" i="6"/>
  <c r="F799" i="6"/>
  <c r="F793" i="6"/>
  <c r="E793" i="6"/>
  <c r="E794" i="6"/>
  <c r="E795" i="6"/>
  <c r="E796" i="6"/>
  <c r="D780" i="6"/>
  <c r="D781" i="6"/>
  <c r="D782" i="6"/>
  <c r="D783" i="6"/>
  <c r="B780" i="6"/>
  <c r="B781" i="6"/>
  <c r="B782" i="6"/>
  <c r="F762" i="6"/>
  <c r="F763" i="6"/>
  <c r="F764" i="6"/>
  <c r="F765" i="6"/>
  <c r="F766" i="6"/>
  <c r="E762" i="6"/>
  <c r="E763" i="6"/>
  <c r="E764" i="6"/>
  <c r="E765" i="6"/>
  <c r="E766" i="6"/>
  <c r="F729" i="6"/>
  <c r="F730" i="6"/>
  <c r="F731" i="6"/>
  <c r="F732" i="6"/>
  <c r="F733" i="6"/>
  <c r="F734" i="6"/>
  <c r="F735" i="6"/>
  <c r="F736" i="6"/>
  <c r="F737" i="6"/>
  <c r="F738" i="6"/>
  <c r="E718" i="6"/>
  <c r="E719" i="6"/>
  <c r="E720" i="6"/>
  <c r="E721" i="6"/>
  <c r="A718" i="6"/>
  <c r="B718" i="6"/>
  <c r="A719" i="6"/>
  <c r="B719" i="6"/>
  <c r="A720" i="6"/>
  <c r="B720" i="6"/>
  <c r="A721" i="6"/>
  <c r="B721" i="6"/>
  <c r="F705" i="6"/>
  <c r="F706" i="6"/>
  <c r="F707" i="6"/>
  <c r="F708" i="6"/>
  <c r="D705" i="6"/>
  <c r="D706" i="6"/>
  <c r="E706" i="6" s="1"/>
  <c r="D707" i="6"/>
  <c r="E707" i="6" s="1"/>
  <c r="D708" i="6"/>
  <c r="E708" i="6" s="1"/>
  <c r="F687" i="6"/>
  <c r="F688" i="6"/>
  <c r="F689" i="6"/>
  <c r="F690" i="6"/>
  <c r="E687" i="6"/>
  <c r="E688" i="6"/>
  <c r="E689" i="6"/>
  <c r="E690" i="6"/>
  <c r="F654" i="6"/>
  <c r="F655" i="6"/>
  <c r="F656" i="6"/>
  <c r="F657" i="6"/>
  <c r="A654" i="6"/>
  <c r="B654" i="6"/>
  <c r="A655" i="6"/>
  <c r="B655" i="6"/>
  <c r="F644" i="6"/>
  <c r="F645" i="6"/>
  <c r="F646" i="6"/>
  <c r="F647" i="6"/>
  <c r="F648" i="6"/>
  <c r="F649" i="6"/>
  <c r="F643" i="6"/>
  <c r="E643" i="6"/>
  <c r="E644" i="6"/>
  <c r="E645" i="6"/>
  <c r="E646" i="6"/>
  <c r="F630" i="6"/>
  <c r="F631" i="6"/>
  <c r="F632" i="6"/>
  <c r="F633" i="6"/>
  <c r="D630" i="6"/>
  <c r="D631" i="6"/>
  <c r="D632" i="6"/>
  <c r="D633" i="6"/>
  <c r="F579" i="6"/>
  <c r="F580" i="6"/>
  <c r="F581" i="6"/>
  <c r="F582" i="6"/>
  <c r="F583" i="6"/>
  <c r="F584" i="6"/>
  <c r="B579" i="6"/>
  <c r="B580" i="6"/>
  <c r="F572" i="6"/>
  <c r="F573" i="6"/>
  <c r="F574" i="6"/>
  <c r="F568" i="6"/>
  <c r="F569" i="6"/>
  <c r="F570" i="6"/>
  <c r="F571" i="6"/>
  <c r="E568" i="6"/>
  <c r="E569" i="6"/>
  <c r="E570" i="6"/>
  <c r="E571" i="6"/>
  <c r="A568" i="6"/>
  <c r="B568" i="6"/>
  <c r="A569" i="6"/>
  <c r="B569" i="6"/>
  <c r="A570" i="6"/>
  <c r="B570" i="6"/>
  <c r="A571" i="6"/>
  <c r="B571" i="6"/>
  <c r="D555" i="6"/>
  <c r="D556" i="6"/>
  <c r="E556" i="6" s="1"/>
  <c r="D557" i="6"/>
  <c r="E557" i="6" s="1"/>
  <c r="D558" i="6"/>
  <c r="E558" i="6" s="1"/>
  <c r="F537" i="6"/>
  <c r="F538" i="6"/>
  <c r="F539" i="6"/>
  <c r="F540" i="6"/>
  <c r="F541" i="6"/>
  <c r="F542" i="6"/>
  <c r="F543" i="6"/>
  <c r="E537" i="6"/>
  <c r="E538" i="6"/>
  <c r="E539" i="6"/>
  <c r="E540" i="6"/>
  <c r="E541" i="6"/>
  <c r="F504" i="6"/>
  <c r="F505" i="6"/>
  <c r="F506" i="6"/>
  <c r="F507" i="6"/>
  <c r="F508" i="6"/>
  <c r="E493" i="6"/>
  <c r="E494" i="6"/>
  <c r="E495" i="6"/>
  <c r="E496" i="6"/>
  <c r="A493" i="6"/>
  <c r="B493" i="6"/>
  <c r="A494" i="6"/>
  <c r="B494" i="6"/>
  <c r="A495" i="6"/>
  <c r="B495" i="6"/>
  <c r="A496" i="6"/>
  <c r="B496" i="6"/>
  <c r="A497" i="6"/>
  <c r="B497" i="6"/>
  <c r="A498" i="6"/>
  <c r="B498" i="6"/>
  <c r="D480" i="6"/>
  <c r="D481" i="6"/>
  <c r="D482" i="6"/>
  <c r="E482" i="6" s="1"/>
  <c r="D483" i="6"/>
  <c r="E483" i="6" s="1"/>
  <c r="D484" i="6"/>
  <c r="E484" i="6" s="1"/>
  <c r="D485" i="6"/>
  <c r="E485" i="6" s="1"/>
  <c r="F462" i="6"/>
  <c r="F463" i="6"/>
  <c r="F464" i="6"/>
  <c r="F465" i="6"/>
  <c r="F466" i="6"/>
  <c r="F467" i="6"/>
  <c r="E462" i="6"/>
  <c r="E463" i="6"/>
  <c r="E464" i="6"/>
  <c r="E465" i="6"/>
  <c r="E466" i="6"/>
  <c r="E467" i="6"/>
  <c r="F429" i="6"/>
  <c r="F430" i="6"/>
  <c r="F431" i="6"/>
  <c r="F432" i="6"/>
  <c r="F433" i="6"/>
  <c r="F434" i="6"/>
  <c r="F435" i="6"/>
  <c r="F436" i="6"/>
  <c r="E419" i="6"/>
  <c r="D405" i="6"/>
  <c r="D406" i="6"/>
  <c r="D407" i="6"/>
  <c r="D408" i="6"/>
  <c r="D409" i="6"/>
  <c r="D410" i="6"/>
  <c r="D411" i="6"/>
  <c r="F387" i="6"/>
  <c r="F388" i="6"/>
  <c r="F389" i="6"/>
  <c r="F390" i="6"/>
  <c r="F391" i="6"/>
  <c r="E387" i="6"/>
  <c r="E388" i="6"/>
  <c r="E389" i="6"/>
  <c r="E390" i="6"/>
  <c r="E391" i="6"/>
  <c r="F354" i="6"/>
  <c r="F355" i="6"/>
  <c r="D354" i="6"/>
  <c r="D355" i="6"/>
  <c r="D356" i="6"/>
  <c r="D357" i="6"/>
  <c r="D358" i="6"/>
  <c r="E344" i="6"/>
  <c r="B343" i="6"/>
  <c r="B344" i="6"/>
  <c r="B345" i="6"/>
  <c r="B346" i="6"/>
  <c r="B347" i="6"/>
  <c r="B348" i="6"/>
  <c r="D330" i="6"/>
  <c r="D331" i="6"/>
  <c r="D332" i="6"/>
  <c r="D333" i="6"/>
  <c r="D334" i="6"/>
  <c r="D335" i="6"/>
  <c r="D336" i="6"/>
  <c r="D337" i="6"/>
  <c r="E312" i="6"/>
  <c r="E313" i="6"/>
  <c r="E314" i="6"/>
  <c r="E315" i="6"/>
  <c r="E316" i="6"/>
  <c r="E317" i="6"/>
  <c r="E318" i="6"/>
  <c r="E319" i="6"/>
  <c r="E320" i="6"/>
  <c r="F279" i="6"/>
  <c r="F280" i="6"/>
  <c r="F281" i="6"/>
  <c r="F282" i="6"/>
  <c r="F283" i="6"/>
  <c r="F284" i="6"/>
  <c r="F285" i="6"/>
  <c r="F286" i="6"/>
  <c r="F287" i="6"/>
  <c r="D279" i="6"/>
  <c r="D280" i="6"/>
  <c r="D281" i="6"/>
  <c r="D282" i="6"/>
  <c r="D283" i="6"/>
  <c r="D284" i="6"/>
  <c r="D285" i="6"/>
  <c r="D286" i="6"/>
  <c r="D287" i="6"/>
  <c r="D288" i="6"/>
  <c r="F269" i="6"/>
  <c r="F268" i="6"/>
  <c r="E268" i="6"/>
  <c r="E269" i="6"/>
  <c r="E270" i="6"/>
  <c r="E271" i="6"/>
  <c r="D255" i="6"/>
  <c r="D256" i="6"/>
  <c r="D257" i="6"/>
  <c r="D258" i="6"/>
  <c r="D259" i="6"/>
  <c r="D260" i="6"/>
  <c r="D261" i="6"/>
  <c r="D262" i="6"/>
  <c r="A255" i="6"/>
  <c r="B255" i="6"/>
  <c r="A256" i="6"/>
  <c r="B256" i="6"/>
  <c r="A257" i="6"/>
  <c r="B257" i="6"/>
  <c r="A258" i="6"/>
  <c r="B258" i="6"/>
  <c r="A259" i="6"/>
  <c r="B259" i="6"/>
  <c r="A260" i="6"/>
  <c r="B260" i="6"/>
  <c r="A261" i="6"/>
  <c r="B261" i="6"/>
  <c r="F237" i="6"/>
  <c r="F238" i="6"/>
  <c r="F239" i="6"/>
  <c r="F240" i="6"/>
  <c r="F241" i="6"/>
  <c r="F242" i="6"/>
  <c r="F243" i="6"/>
  <c r="F244" i="6"/>
  <c r="E237" i="6"/>
  <c r="E238" i="6"/>
  <c r="E239" i="6"/>
  <c r="E240" i="6"/>
  <c r="E241" i="6"/>
  <c r="E242" i="6"/>
  <c r="E243" i="6"/>
  <c r="E244" i="6"/>
  <c r="F204" i="6"/>
  <c r="F205" i="6"/>
  <c r="F206" i="6"/>
  <c r="F207" i="6"/>
  <c r="F208" i="6"/>
  <c r="F209" i="6"/>
  <c r="F210" i="6"/>
  <c r="F211" i="6"/>
  <c r="F212" i="6"/>
  <c r="F213" i="6"/>
  <c r="A204" i="6"/>
  <c r="B204" i="6"/>
  <c r="A205" i="6"/>
  <c r="B205" i="6"/>
  <c r="A206" i="6"/>
  <c r="B206" i="6"/>
  <c r="A207" i="6"/>
  <c r="B207" i="6"/>
  <c r="A208" i="6"/>
  <c r="B208" i="6"/>
  <c r="A209" i="6"/>
  <c r="B209" i="6"/>
  <c r="E193" i="6"/>
  <c r="E194" i="6"/>
  <c r="E195" i="6"/>
  <c r="E196" i="6"/>
  <c r="E197" i="6"/>
  <c r="E198" i="6"/>
  <c r="A180" i="6"/>
  <c r="A181" i="6"/>
  <c r="A182" i="6"/>
  <c r="A183" i="6"/>
  <c r="A184" i="6"/>
  <c r="A185" i="6"/>
  <c r="A186" i="6"/>
  <c r="A187" i="6"/>
  <c r="B180" i="6"/>
  <c r="B181" i="6"/>
  <c r="B182" i="6"/>
  <c r="B183" i="6"/>
  <c r="B184" i="6"/>
  <c r="B185" i="6"/>
  <c r="B186" i="6"/>
  <c r="B187" i="6"/>
  <c r="A193" i="6"/>
  <c r="A194" i="6"/>
  <c r="A195" i="6"/>
  <c r="A196" i="6"/>
  <c r="A197" i="6"/>
  <c r="A198" i="6"/>
  <c r="B198" i="6"/>
  <c r="B199" i="6"/>
  <c r="B193" i="6"/>
  <c r="B194" i="6"/>
  <c r="B195" i="6"/>
  <c r="B196" i="6"/>
  <c r="D180" i="6"/>
  <c r="D181" i="6"/>
  <c r="D182" i="6"/>
  <c r="D183" i="6"/>
  <c r="D184" i="6"/>
  <c r="G163" i="6"/>
  <c r="G164" i="6"/>
  <c r="G165" i="6"/>
  <c r="G166" i="6"/>
  <c r="G167" i="6"/>
  <c r="G168" i="6"/>
  <c r="G169" i="6"/>
  <c r="G170" i="6"/>
  <c r="G171" i="6"/>
  <c r="F162" i="6"/>
  <c r="F163" i="6"/>
  <c r="F164" i="6"/>
  <c r="F165" i="6"/>
  <c r="F166" i="6"/>
  <c r="F167" i="6"/>
  <c r="F168" i="6"/>
  <c r="F169" i="6"/>
  <c r="F170" i="6"/>
  <c r="E162" i="6"/>
  <c r="E163" i="6"/>
  <c r="E164" i="6"/>
  <c r="E165" i="6"/>
  <c r="E166" i="6"/>
  <c r="E167" i="6"/>
  <c r="E168" i="6"/>
  <c r="E169" i="6"/>
  <c r="E170" i="6"/>
  <c r="E118" i="6"/>
  <c r="E119" i="6"/>
  <c r="E120" i="6"/>
  <c r="E121" i="6"/>
  <c r="E122" i="6"/>
  <c r="E123" i="6"/>
  <c r="D105" i="6"/>
  <c r="D106" i="6"/>
  <c r="D107" i="6"/>
  <c r="D108" i="6"/>
  <c r="D109" i="6"/>
  <c r="D110" i="6"/>
  <c r="D111" i="6"/>
  <c r="D112" i="6"/>
  <c r="E87" i="6"/>
  <c r="E88" i="6"/>
  <c r="E89" i="6"/>
  <c r="E90" i="6"/>
  <c r="E91" i="6"/>
  <c r="F54" i="6"/>
  <c r="F55" i="6"/>
  <c r="F56" i="6"/>
  <c r="F57" i="6"/>
  <c r="F58" i="6"/>
  <c r="F59" i="6"/>
  <c r="D54" i="6"/>
  <c r="D55" i="6"/>
  <c r="D56" i="6"/>
  <c r="D57" i="6"/>
  <c r="D58" i="6"/>
  <c r="D59" i="6"/>
  <c r="D30" i="6"/>
  <c r="D31" i="6"/>
  <c r="D32" i="6"/>
  <c r="D33" i="6"/>
  <c r="D34" i="6"/>
  <c r="D35" i="6"/>
  <c r="D36" i="6"/>
  <c r="D37" i="6"/>
  <c r="F12" i="6"/>
  <c r="F13" i="6"/>
  <c r="F14" i="6"/>
  <c r="F15" i="6"/>
  <c r="F16" i="6"/>
  <c r="F17" i="6"/>
  <c r="F18" i="6"/>
  <c r="F19" i="6"/>
  <c r="F20" i="6"/>
  <c r="E12" i="6"/>
  <c r="E13" i="6"/>
  <c r="E14" i="6"/>
  <c r="E15" i="6"/>
  <c r="E16" i="6"/>
  <c r="E17" i="6"/>
  <c r="E18" i="6"/>
  <c r="E19" i="6"/>
  <c r="E20" i="6"/>
  <c r="D50" i="15"/>
  <c r="D53" i="15"/>
  <c r="D51" i="15"/>
  <c r="C39" i="15"/>
  <c r="C40" i="15"/>
  <c r="A75" i="2"/>
  <c r="A59" i="2"/>
  <c r="A61" i="2"/>
  <c r="A62" i="2"/>
  <c r="A66" i="2"/>
  <c r="A82" i="2"/>
  <c r="A50" i="2"/>
  <c r="A79" i="2"/>
  <c r="A76" i="2"/>
  <c r="A60" i="2"/>
  <c r="A81" i="2"/>
  <c r="A72" i="2"/>
  <c r="A70" i="2"/>
  <c r="A55" i="2"/>
  <c r="A58" i="2"/>
  <c r="A63" i="2"/>
  <c r="A56" i="2"/>
  <c r="A53" i="2"/>
  <c r="A69" i="2"/>
  <c r="A65" i="2"/>
  <c r="A54" i="2"/>
  <c r="A64" i="2"/>
  <c r="A73" i="2"/>
  <c r="A68" i="2"/>
  <c r="A71" i="2"/>
  <c r="A83" i="2"/>
  <c r="A78" i="2"/>
  <c r="A57" i="2"/>
  <c r="A80" i="2"/>
  <c r="A52" i="2"/>
  <c r="A67" i="2"/>
  <c r="A74" i="2"/>
  <c r="A77" i="2"/>
  <c r="G4062" i="6" l="1"/>
  <c r="G708" i="6"/>
  <c r="G706" i="6"/>
  <c r="G3887" i="6"/>
  <c r="G3194" i="6"/>
  <c r="G3195" i="6"/>
  <c r="G3196" i="6"/>
  <c r="G3197" i="6"/>
  <c r="G3198" i="6"/>
  <c r="G3212" i="6"/>
  <c r="G3362" i="6"/>
  <c r="G857" i="6"/>
  <c r="G3962" i="6"/>
  <c r="G2835" i="6"/>
  <c r="G2669" i="6"/>
  <c r="G2670" i="6"/>
  <c r="G2671" i="6"/>
  <c r="G2672" i="6"/>
  <c r="G2675" i="6"/>
  <c r="G3812" i="6"/>
  <c r="G856" i="6"/>
  <c r="G2297" i="6"/>
  <c r="G2759" i="6"/>
  <c r="G1771" i="6"/>
  <c r="G1769" i="6"/>
  <c r="G2897" i="6"/>
  <c r="G2898" i="6"/>
  <c r="G2899" i="6"/>
  <c r="G2900" i="6"/>
  <c r="G2901" i="6"/>
  <c r="G2909" i="6"/>
  <c r="G2983" i="6"/>
  <c r="G3588" i="6"/>
  <c r="G2369" i="6"/>
  <c r="G2370" i="6"/>
  <c r="G2371" i="6"/>
  <c r="G2372" i="6"/>
  <c r="G2373" i="6"/>
  <c r="G2374" i="6"/>
  <c r="G2375" i="6"/>
  <c r="G2376" i="6"/>
  <c r="G2377" i="6"/>
  <c r="G2383" i="6"/>
  <c r="G2384" i="6"/>
  <c r="G2385" i="6"/>
  <c r="G2387" i="6"/>
  <c r="G2388" i="6"/>
  <c r="G2444" i="6"/>
  <c r="G2445" i="6"/>
  <c r="G2447" i="6"/>
  <c r="G2451" i="6"/>
  <c r="G2594" i="6"/>
  <c r="G2595" i="6"/>
  <c r="G2596" i="6"/>
  <c r="G2597" i="6"/>
  <c r="G2598" i="6"/>
  <c r="G2599" i="6"/>
  <c r="G2600" i="6"/>
  <c r="G2601" i="6"/>
  <c r="G2602" i="6"/>
  <c r="G2607" i="6"/>
  <c r="G2608" i="6"/>
  <c r="G2613" i="6"/>
  <c r="G2822" i="6"/>
  <c r="G2823" i="6"/>
  <c r="G2824" i="6"/>
  <c r="G2825" i="6"/>
  <c r="G2826" i="6"/>
  <c r="G2834" i="6"/>
  <c r="G3644" i="6"/>
  <c r="G3645" i="6"/>
  <c r="G3646" i="6"/>
  <c r="G3647" i="6"/>
  <c r="G3648" i="6"/>
  <c r="G3649" i="6"/>
  <c r="G3650" i="6"/>
  <c r="G3651" i="6"/>
  <c r="G3652" i="6"/>
  <c r="G3657" i="6"/>
  <c r="G3658" i="6"/>
  <c r="G3659" i="6"/>
  <c r="G3660" i="6"/>
  <c r="G3661" i="6"/>
  <c r="G3662" i="6"/>
  <c r="G3044" i="6"/>
  <c r="G3045" i="6"/>
  <c r="G3058" i="6"/>
  <c r="G3062" i="6"/>
  <c r="G3133" i="6"/>
  <c r="G2309" i="6"/>
  <c r="G3433" i="6"/>
  <c r="G3434" i="6"/>
  <c r="G3435" i="6"/>
  <c r="G3437" i="6"/>
  <c r="G3438" i="6"/>
  <c r="G3495" i="6"/>
  <c r="G3733" i="6"/>
  <c r="G858" i="6"/>
  <c r="G1232" i="6"/>
  <c r="G1773" i="6"/>
  <c r="G2298" i="6"/>
  <c r="G2299" i="6"/>
  <c r="G2301" i="6"/>
  <c r="G2452" i="6"/>
  <c r="G2457" i="6"/>
  <c r="G2458" i="6"/>
  <c r="G2459" i="6"/>
  <c r="G2463" i="6"/>
  <c r="G2676" i="6"/>
  <c r="G2677" i="6"/>
  <c r="G2682" i="6"/>
  <c r="G2683" i="6"/>
  <c r="G2684" i="6"/>
  <c r="G2685" i="6"/>
  <c r="G2686" i="6"/>
  <c r="G2687" i="6"/>
  <c r="G2747" i="6"/>
  <c r="G2748" i="6"/>
  <c r="G2749" i="6"/>
  <c r="G2751" i="6"/>
  <c r="G3137" i="6"/>
  <c r="G3138" i="6"/>
  <c r="G3719" i="6"/>
  <c r="G3720" i="6"/>
  <c r="G3721" i="6"/>
  <c r="G3722" i="6"/>
  <c r="G3723" i="6"/>
  <c r="G3724" i="6"/>
  <c r="G3725" i="6"/>
  <c r="G3726" i="6"/>
  <c r="G3727" i="6"/>
  <c r="G3794" i="6"/>
  <c r="G3795" i="6"/>
  <c r="G3796" i="6"/>
  <c r="G3797" i="6"/>
  <c r="G3798" i="6"/>
  <c r="G3799" i="6"/>
  <c r="G3800" i="6"/>
  <c r="G3801" i="6"/>
  <c r="G3802" i="6"/>
  <c r="G3807" i="6"/>
  <c r="G3808" i="6"/>
  <c r="G3883" i="6"/>
  <c r="G2519" i="6"/>
  <c r="G2520" i="6"/>
  <c r="G2521" i="6"/>
  <c r="G2522" i="6"/>
  <c r="G2523" i="6"/>
  <c r="G2525" i="6"/>
  <c r="G2526" i="6"/>
  <c r="G2527" i="6"/>
  <c r="G2533" i="6"/>
  <c r="G2536" i="6"/>
  <c r="G2537" i="6"/>
  <c r="G3344" i="6"/>
  <c r="G3345" i="6"/>
  <c r="G3346" i="6"/>
  <c r="G3347" i="6"/>
  <c r="G3348" i="6"/>
  <c r="G3349" i="6"/>
  <c r="G3350" i="6"/>
  <c r="G3351" i="6"/>
  <c r="G3352" i="6"/>
  <c r="G3357" i="6"/>
  <c r="G3358" i="6"/>
  <c r="G3359" i="6"/>
  <c r="G3360" i="6"/>
  <c r="G3361" i="6"/>
  <c r="G3496" i="6"/>
  <c r="G3497" i="6"/>
  <c r="G3498" i="6"/>
  <c r="G3499" i="6"/>
  <c r="G3500" i="6"/>
  <c r="G3501" i="6"/>
  <c r="G3502" i="6"/>
  <c r="G3509" i="6"/>
  <c r="G3510" i="6"/>
  <c r="G3511" i="6"/>
  <c r="G3512" i="6"/>
  <c r="G3513" i="6"/>
  <c r="G3569" i="6"/>
  <c r="G3570" i="6"/>
  <c r="G3571" i="6"/>
  <c r="G3572" i="6"/>
  <c r="G3575" i="6"/>
  <c r="G3576" i="6"/>
  <c r="G3577" i="6"/>
  <c r="G3737" i="6"/>
  <c r="G1233" i="6"/>
  <c r="G3199" i="6"/>
  <c r="G3200" i="6"/>
  <c r="G3201" i="6"/>
  <c r="G3202" i="6"/>
  <c r="G3208" i="6"/>
  <c r="G3283" i="6"/>
  <c r="G3284" i="6"/>
  <c r="G3285" i="6"/>
  <c r="G3286" i="6"/>
  <c r="G3287" i="6"/>
  <c r="G3160" i="6"/>
  <c r="G2294" i="6"/>
  <c r="G2295" i="6"/>
  <c r="G2313" i="6"/>
  <c r="G2460" i="6"/>
  <c r="G2760" i="6"/>
  <c r="G2763" i="6"/>
  <c r="G2779" i="6"/>
  <c r="G3432" i="6"/>
  <c r="G3963" i="6"/>
  <c r="G1231" i="6"/>
  <c r="G1770" i="6"/>
  <c r="G2532" i="6"/>
  <c r="G2560" i="6"/>
  <c r="G2612" i="6"/>
  <c r="G3809" i="6"/>
  <c r="G3810" i="6"/>
  <c r="G3811" i="6"/>
  <c r="E273" i="6"/>
  <c r="G707" i="6"/>
  <c r="G2302" i="6"/>
  <c r="G2307" i="6"/>
  <c r="G2308" i="6"/>
  <c r="G2448" i="6"/>
  <c r="G2449" i="6"/>
  <c r="G2554" i="6"/>
  <c r="G2673" i="6"/>
  <c r="G2674" i="6"/>
  <c r="G2688" i="6"/>
  <c r="G2752" i="6"/>
  <c r="G2757" i="6"/>
  <c r="G2758" i="6"/>
  <c r="G2910" i="6"/>
  <c r="G2987" i="6"/>
  <c r="G2988" i="6"/>
  <c r="G3211" i="6"/>
  <c r="G3582" i="6"/>
  <c r="G3583" i="6"/>
  <c r="G3584" i="6"/>
  <c r="G3585" i="6"/>
  <c r="G3586" i="6"/>
  <c r="G3587" i="6"/>
  <c r="G3869" i="6"/>
  <c r="G3870" i="6"/>
  <c r="G3871" i="6"/>
  <c r="G3944" i="6"/>
  <c r="G3945" i="6"/>
  <c r="G3946" i="6"/>
  <c r="G3947" i="6"/>
  <c r="G3948" i="6"/>
  <c r="G3949" i="6"/>
  <c r="G3950" i="6"/>
  <c r="G3951" i="6"/>
  <c r="G3952" i="6"/>
  <c r="G3957" i="6"/>
  <c r="G3958" i="6"/>
  <c r="G3960" i="6"/>
  <c r="G1772" i="6"/>
  <c r="G2296" i="6"/>
  <c r="G2310" i="6"/>
  <c r="G2311" i="6"/>
  <c r="G2312" i="6"/>
  <c r="G2382" i="6"/>
  <c r="G2386" i="6"/>
  <c r="G2450" i="6"/>
  <c r="G2479" i="6"/>
  <c r="G2538" i="6"/>
  <c r="G2609" i="6"/>
  <c r="G2610" i="6"/>
  <c r="G2611" i="6"/>
  <c r="G2710" i="6"/>
  <c r="G2750" i="6"/>
  <c r="G2410" i="6"/>
  <c r="G2635" i="6"/>
  <c r="G2913" i="6"/>
  <c r="G2300" i="6"/>
  <c r="G2329" i="6"/>
  <c r="G2446" i="6"/>
  <c r="G2461" i="6"/>
  <c r="G2462" i="6"/>
  <c r="G2524" i="6"/>
  <c r="G2534" i="6"/>
  <c r="G2535" i="6"/>
  <c r="G2744" i="6"/>
  <c r="G2745" i="6"/>
  <c r="G2838" i="6"/>
  <c r="G2704" i="6"/>
  <c r="G3235" i="6"/>
  <c r="G3385" i="6"/>
  <c r="G3604" i="6"/>
  <c r="G3046" i="6"/>
  <c r="G3047" i="6"/>
  <c r="G3048" i="6"/>
  <c r="G3049" i="6"/>
  <c r="G3050" i="6"/>
  <c r="G3051" i="6"/>
  <c r="G3052" i="6"/>
  <c r="G3057" i="6"/>
  <c r="G3207" i="6"/>
  <c r="G3209" i="6"/>
  <c r="G3210" i="6"/>
  <c r="G3288" i="6"/>
  <c r="G3310" i="6"/>
  <c r="G3436" i="6"/>
  <c r="G3535" i="6"/>
  <c r="G3732" i="6"/>
  <c r="G3760" i="6"/>
  <c r="G3872" i="6"/>
  <c r="G3873" i="6"/>
  <c r="G3874" i="6"/>
  <c r="G3875" i="6"/>
  <c r="G3876" i="6"/>
  <c r="G3877" i="6"/>
  <c r="G3882" i="6"/>
  <c r="G3961" i="6"/>
  <c r="G2746" i="6"/>
  <c r="G2761" i="6"/>
  <c r="G2762" i="6"/>
  <c r="G2819" i="6"/>
  <c r="G2827" i="6"/>
  <c r="G2832" i="6"/>
  <c r="G2833" i="6"/>
  <c r="G2894" i="6"/>
  <c r="G2902" i="6"/>
  <c r="G2907" i="6"/>
  <c r="G2908" i="6"/>
  <c r="G2969" i="6"/>
  <c r="G2970" i="6"/>
  <c r="G2971" i="6"/>
  <c r="G2972" i="6"/>
  <c r="G2973" i="6"/>
  <c r="G2974" i="6"/>
  <c r="G2975" i="6"/>
  <c r="G2976" i="6"/>
  <c r="G2977" i="6"/>
  <c r="G2982" i="6"/>
  <c r="G3010" i="6"/>
  <c r="G3059" i="6"/>
  <c r="G3060" i="6"/>
  <c r="G3061" i="6"/>
  <c r="G3119" i="6"/>
  <c r="G3120" i="6"/>
  <c r="G3121" i="6"/>
  <c r="G3122" i="6"/>
  <c r="G3123" i="6"/>
  <c r="G3124" i="6"/>
  <c r="G3125" i="6"/>
  <c r="G3126" i="6"/>
  <c r="G3127" i="6"/>
  <c r="G3132" i="6"/>
  <c r="G3213" i="6"/>
  <c r="G3363" i="6"/>
  <c r="G3573" i="6"/>
  <c r="G3610" i="6"/>
  <c r="G3663" i="6"/>
  <c r="G3685" i="6"/>
  <c r="G3734" i="6"/>
  <c r="G3735" i="6"/>
  <c r="G3736" i="6"/>
  <c r="G3813" i="6"/>
  <c r="G3835" i="6"/>
  <c r="G3884" i="6"/>
  <c r="G3885" i="6"/>
  <c r="G3886" i="6"/>
  <c r="G3959" i="6"/>
  <c r="G3985" i="6"/>
  <c r="G2820" i="6"/>
  <c r="G2821" i="6"/>
  <c r="G2836" i="6"/>
  <c r="G2837" i="6"/>
  <c r="G2895" i="6"/>
  <c r="G2896" i="6"/>
  <c r="G2911" i="6"/>
  <c r="G2912" i="6"/>
  <c r="G2984" i="6"/>
  <c r="G2985" i="6"/>
  <c r="G2986" i="6"/>
  <c r="G3063" i="6"/>
  <c r="G3085" i="6"/>
  <c r="G3134" i="6"/>
  <c r="G3135" i="6"/>
  <c r="G3136" i="6"/>
  <c r="G3269" i="6"/>
  <c r="G3270" i="6"/>
  <c r="G3271" i="6"/>
  <c r="G3272" i="6"/>
  <c r="G3273" i="6"/>
  <c r="G3274" i="6"/>
  <c r="G3275" i="6"/>
  <c r="G3276" i="6"/>
  <c r="G3277" i="6"/>
  <c r="G3282" i="6"/>
  <c r="G3419" i="6"/>
  <c r="G3420" i="6"/>
  <c r="G3421" i="6"/>
  <c r="G3422" i="6"/>
  <c r="G3423" i="6"/>
  <c r="G3424" i="6"/>
  <c r="G3425" i="6"/>
  <c r="G3426" i="6"/>
  <c r="G3427" i="6"/>
  <c r="G3460" i="6"/>
  <c r="G3494" i="6"/>
  <c r="G3507" i="6"/>
  <c r="G3508" i="6"/>
  <c r="G3529" i="6"/>
  <c r="G3574" i="6"/>
  <c r="G3738" i="6"/>
  <c r="G3888" i="6"/>
  <c r="G3910" i="6"/>
  <c r="G3937" i="6"/>
  <c r="G3979" i="6"/>
  <c r="G3862" i="6"/>
  <c r="G3904" i="6"/>
  <c r="G3787" i="6"/>
  <c r="G3829" i="6"/>
  <c r="G3712" i="6"/>
  <c r="G3754" i="6"/>
  <c r="G3679" i="6"/>
  <c r="G3412" i="6"/>
  <c r="G3454" i="6"/>
  <c r="G3379" i="6"/>
  <c r="G3262" i="6"/>
  <c r="G3304" i="6"/>
  <c r="G3229" i="6"/>
  <c r="G3112" i="6"/>
  <c r="G3154" i="6"/>
  <c r="G3037" i="6"/>
  <c r="G3079" i="6"/>
  <c r="G3004" i="6"/>
  <c r="G2887" i="6"/>
  <c r="G2929" i="6"/>
  <c r="G2854" i="6"/>
  <c r="G2662" i="6"/>
  <c r="G2587" i="6"/>
  <c r="G2629" i="6"/>
  <c r="G2512" i="6"/>
  <c r="G2437" i="6"/>
  <c r="G2404" i="6"/>
  <c r="G2287" i="6"/>
  <c r="E50" i="2"/>
  <c r="E63" i="2"/>
  <c r="E59" i="2"/>
  <c r="E55" i="2"/>
  <c r="E62" i="2"/>
  <c r="E58" i="2"/>
  <c r="E54" i="2"/>
  <c r="E61" i="2"/>
  <c r="E57" i="2"/>
  <c r="E53" i="2"/>
  <c r="E60" i="2"/>
  <c r="E56" i="2"/>
  <c r="E52" i="2"/>
  <c r="E66" i="2"/>
  <c r="E67" i="2"/>
  <c r="E69" i="2"/>
  <c r="E65" i="2"/>
  <c r="E68" i="2"/>
  <c r="E64" i="2"/>
  <c r="E72" i="2"/>
  <c r="E77" i="2"/>
  <c r="E73" i="2"/>
  <c r="E79" i="2"/>
  <c r="E75" i="2"/>
  <c r="E71" i="2"/>
  <c r="E76" i="2"/>
  <c r="E78" i="2"/>
  <c r="E74" i="2"/>
  <c r="E70" i="2"/>
  <c r="E81" i="2"/>
  <c r="E80" i="2"/>
  <c r="E82" i="2"/>
  <c r="E83" i="2"/>
  <c r="Y46" i="9"/>
  <c r="Y47" i="9"/>
  <c r="Y48" i="9"/>
  <c r="Y49" i="9"/>
  <c r="Y50" i="9"/>
  <c r="Y51" i="9"/>
  <c r="Y52" i="9"/>
  <c r="Y53" i="9"/>
  <c r="Y54" i="9"/>
  <c r="Y34" i="9"/>
  <c r="Y35" i="9"/>
  <c r="Y36" i="9"/>
  <c r="Y37" i="9"/>
  <c r="Y38" i="9"/>
  <c r="Y39" i="9"/>
  <c r="Y40" i="9"/>
  <c r="Y41" i="9"/>
  <c r="Y42" i="9"/>
  <c r="Y43" i="9"/>
  <c r="Y44" i="9"/>
  <c r="Y45" i="9"/>
  <c r="Y31" i="9"/>
  <c r="Y32" i="9"/>
  <c r="Y33" i="9"/>
  <c r="Y30" i="9"/>
  <c r="Y18" i="9"/>
  <c r="Y13" i="9"/>
  <c r="G2303" i="6" l="1"/>
  <c r="G2464" i="6"/>
  <c r="G3439" i="6"/>
  <c r="G3664" i="6"/>
  <c r="G3653" i="6"/>
  <c r="G2603" i="6"/>
  <c r="G2378" i="6"/>
  <c r="G3214" i="6"/>
  <c r="G3814" i="6"/>
  <c r="G3203" i="6"/>
  <c r="G2903" i="6"/>
  <c r="G2828" i="6"/>
  <c r="G2753" i="6"/>
  <c r="G3064" i="6"/>
  <c r="G3589" i="6"/>
  <c r="G3364" i="6"/>
  <c r="G3353" i="6"/>
  <c r="G2528" i="6"/>
  <c r="G3803" i="6"/>
  <c r="G3728" i="6"/>
  <c r="G2689" i="6"/>
  <c r="G3503" i="6"/>
  <c r="G2614" i="6"/>
  <c r="G2453" i="6"/>
  <c r="G3139" i="6"/>
  <c r="G3289" i="6"/>
  <c r="G2989" i="6"/>
  <c r="G3964" i="6"/>
  <c r="G3578" i="6"/>
  <c r="G3889" i="6"/>
  <c r="G3953" i="6"/>
  <c r="G3878" i="6"/>
  <c r="G2764" i="6"/>
  <c r="G2787" i="6" s="1"/>
  <c r="G2314" i="6"/>
  <c r="G3428" i="6"/>
  <c r="G3462" i="6" s="1"/>
  <c r="G3278" i="6"/>
  <c r="G3128" i="6"/>
  <c r="G2978" i="6"/>
  <c r="G3053" i="6"/>
  <c r="G2539" i="6"/>
  <c r="G2678" i="6"/>
  <c r="G2712" i="6" s="1"/>
  <c r="G3514" i="6"/>
  <c r="G3537" i="6" s="1"/>
  <c r="G3739" i="6"/>
  <c r="G2914" i="6"/>
  <c r="G2839" i="6"/>
  <c r="G2389" i="6"/>
  <c r="I1213" i="6"/>
  <c r="I1214" i="6"/>
  <c r="I1212" i="6"/>
  <c r="G54" i="6"/>
  <c r="G55" i="6"/>
  <c r="B90" i="2"/>
  <c r="G3162" i="6" l="1"/>
  <c r="G2337" i="6"/>
  <c r="G3087" i="6"/>
  <c r="G2937" i="6"/>
  <c r="G2412" i="6"/>
  <c r="G2487" i="6"/>
  <c r="G2637" i="6"/>
  <c r="G3387" i="6"/>
  <c r="G3237" i="6"/>
  <c r="G3687" i="6"/>
  <c r="G3837" i="6"/>
  <c r="G3612" i="6"/>
  <c r="G2562" i="6"/>
  <c r="G3987" i="6"/>
  <c r="G2862" i="6"/>
  <c r="G3762" i="6"/>
  <c r="G3912" i="6"/>
  <c r="G3312" i="6"/>
  <c r="G3012" i="6"/>
  <c r="G2091" i="6"/>
  <c r="G2092" i="6"/>
  <c r="G2093" i="6"/>
  <c r="G2094" i="6"/>
  <c r="G2095" i="6"/>
  <c r="G2096" i="6"/>
  <c r="G2097" i="6"/>
  <c r="G2098" i="6"/>
  <c r="G2099" i="6"/>
  <c r="G2100" i="6"/>
  <c r="G2101" i="6"/>
  <c r="D2103" i="6"/>
  <c r="F2080" i="6"/>
  <c r="G2080" i="6" s="1"/>
  <c r="F2081" i="6"/>
  <c r="G2081" i="6" s="1"/>
  <c r="F2082" i="6"/>
  <c r="G2082" i="6" s="1"/>
  <c r="F2084" i="6"/>
  <c r="F2079" i="6"/>
  <c r="G2083" i="6"/>
  <c r="G2079" i="6"/>
  <c r="F2005" i="6"/>
  <c r="F2006" i="6"/>
  <c r="F2007" i="6"/>
  <c r="F2008" i="6"/>
  <c r="F2009" i="6"/>
  <c r="F2004" i="6"/>
  <c r="G1930" i="6"/>
  <c r="G1931" i="6"/>
  <c r="G1932" i="6"/>
  <c r="G1929" i="6"/>
  <c r="F1935" i="6"/>
  <c r="E1935" i="6"/>
  <c r="G1864" i="6"/>
  <c r="G1863" i="6"/>
  <c r="G1862" i="6"/>
  <c r="G1861" i="6"/>
  <c r="G1860" i="6"/>
  <c r="G1859" i="6"/>
  <c r="G1858" i="6"/>
  <c r="G1857" i="6"/>
  <c r="G1856" i="6"/>
  <c r="G1855" i="6"/>
  <c r="G1854" i="6"/>
  <c r="G1933" i="6" l="1"/>
  <c r="G2084" i="6"/>
  <c r="G1934" i="6"/>
  <c r="G1935" i="6"/>
  <c r="F1024" i="6"/>
  <c r="D809" i="6"/>
  <c r="F43" i="6"/>
  <c r="E48" i="6"/>
  <c r="C30" i="15"/>
  <c r="G4063" i="6" l="1"/>
  <c r="G3163" i="6"/>
  <c r="G3538" i="6"/>
  <c r="G2938" i="6"/>
  <c r="G2338" i="6"/>
  <c r="G3088" i="6"/>
  <c r="G2713" i="6"/>
  <c r="G3463" i="6"/>
  <c r="G2788" i="6"/>
  <c r="G2863" i="6"/>
  <c r="G3763" i="6"/>
  <c r="G2638" i="6"/>
  <c r="G3313" i="6"/>
  <c r="G3013" i="6"/>
  <c r="G3988" i="6"/>
  <c r="G3613" i="6"/>
  <c r="G2563" i="6"/>
  <c r="G3913" i="6"/>
  <c r="G3388" i="6"/>
  <c r="G3688" i="6"/>
  <c r="G2413" i="6"/>
  <c r="G3238" i="6"/>
  <c r="G3838" i="6"/>
  <c r="G2488" i="6"/>
  <c r="K22" i="15"/>
  <c r="K20" i="15"/>
  <c r="E36" i="19" l="1"/>
  <c r="E39" i="19"/>
  <c r="F1848" i="6" l="1"/>
  <c r="F1844" i="6"/>
  <c r="F1845" i="6"/>
  <c r="F1846" i="6"/>
  <c r="F1843" i="6"/>
  <c r="F1323" i="6" l="1"/>
  <c r="F1319" i="6"/>
  <c r="F1320" i="6"/>
  <c r="F1321" i="6"/>
  <c r="F1318" i="6"/>
  <c r="E1248" i="6" l="1"/>
  <c r="G1244" i="6"/>
  <c r="G1245" i="6"/>
  <c r="G1246" i="6"/>
  <c r="G1243" i="6"/>
  <c r="G1064" i="6"/>
  <c r="G1063" i="6"/>
  <c r="G1062" i="6"/>
  <c r="G1019" i="6"/>
  <c r="G1020" i="6"/>
  <c r="G1021" i="6"/>
  <c r="G1018" i="6"/>
  <c r="E948" i="6"/>
  <c r="G1248" i="6" l="1"/>
  <c r="F781" i="6"/>
  <c r="F782" i="6"/>
  <c r="F783" i="6"/>
  <c r="F780" i="6"/>
  <c r="E798" i="6"/>
  <c r="F723" i="6"/>
  <c r="E723" i="6"/>
  <c r="F719" i="6"/>
  <c r="F720" i="6"/>
  <c r="F721" i="6"/>
  <c r="F718" i="6"/>
  <c r="E648" i="6"/>
  <c r="F556" i="6"/>
  <c r="F557" i="6"/>
  <c r="F558" i="6"/>
  <c r="F555" i="6"/>
  <c r="E573" i="6"/>
  <c r="F481" i="6"/>
  <c r="F482" i="6"/>
  <c r="F483" i="6"/>
  <c r="F480" i="6"/>
  <c r="F498" i="6"/>
  <c r="E498" i="6"/>
  <c r="F494" i="6"/>
  <c r="F495" i="6"/>
  <c r="F496" i="6"/>
  <c r="F493" i="6"/>
  <c r="F406" i="6"/>
  <c r="F407" i="6"/>
  <c r="F408" i="6"/>
  <c r="F405" i="6"/>
  <c r="F423" i="6"/>
  <c r="F419" i="6"/>
  <c r="F420" i="6"/>
  <c r="F421" i="6"/>
  <c r="F418" i="6"/>
  <c r="F348" i="6"/>
  <c r="F344" i="6"/>
  <c r="F345" i="6"/>
  <c r="F346" i="6"/>
  <c r="F343" i="6"/>
  <c r="F331" i="6"/>
  <c r="F332" i="6"/>
  <c r="F333" i="6"/>
  <c r="F330" i="6"/>
  <c r="F256" i="6"/>
  <c r="F257" i="6"/>
  <c r="F258" i="6"/>
  <c r="F255" i="6"/>
  <c r="F273" i="6"/>
  <c r="F270" i="6"/>
  <c r="F271" i="6"/>
  <c r="G279" i="6"/>
  <c r="F181" i="6"/>
  <c r="F182" i="6"/>
  <c r="F183" i="6"/>
  <c r="F180" i="6"/>
  <c r="F198" i="6"/>
  <c r="F197" i="6"/>
  <c r="F196" i="6"/>
  <c r="F195" i="6"/>
  <c r="F194" i="6"/>
  <c r="G194" i="6" s="1"/>
  <c r="F193" i="6"/>
  <c r="F123" i="6" l="1"/>
  <c r="F121" i="6"/>
  <c r="F120" i="6"/>
  <c r="F119" i="6"/>
  <c r="F118" i="6"/>
  <c r="F106" i="6"/>
  <c r="F107" i="6"/>
  <c r="F108" i="6"/>
  <c r="F105" i="6"/>
  <c r="F48" i="6"/>
  <c r="F46" i="6"/>
  <c r="F45" i="6"/>
  <c r="F44" i="6"/>
  <c r="F31" i="6"/>
  <c r="F32" i="6"/>
  <c r="F33" i="6"/>
  <c r="F30" i="6"/>
  <c r="G48" i="6" l="1"/>
  <c r="B94" i="2"/>
  <c r="E94" i="2"/>
  <c r="E90" i="2"/>
  <c r="F2259" i="6" l="1"/>
  <c r="G2259" i="6" s="1"/>
  <c r="D2259" i="6"/>
  <c r="B2259" i="6"/>
  <c r="A2259" i="6"/>
  <c r="F2258" i="6"/>
  <c r="G2258" i="6" s="1"/>
  <c r="D2258" i="6"/>
  <c r="B2258" i="6"/>
  <c r="A2258" i="6"/>
  <c r="F2253" i="6"/>
  <c r="G2253" i="6" s="1"/>
  <c r="D2253" i="6"/>
  <c r="B2253" i="6"/>
  <c r="A2253" i="6"/>
  <c r="G2252" i="6"/>
  <c r="G2251" i="6"/>
  <c r="G2250" i="6"/>
  <c r="G2249" i="6"/>
  <c r="G2248" i="6"/>
  <c r="G2247" i="6"/>
  <c r="G2246" i="6"/>
  <c r="G2245" i="6"/>
  <c r="G2244" i="6"/>
  <c r="G2243" i="6"/>
  <c r="F2238" i="6"/>
  <c r="E2238" i="6"/>
  <c r="B2238" i="6"/>
  <c r="A2238" i="6"/>
  <c r="B2237" i="6"/>
  <c r="A2237" i="6"/>
  <c r="F2236" i="6"/>
  <c r="B2236" i="6"/>
  <c r="A2236" i="6"/>
  <c r="A2235" i="6"/>
  <c r="B2234" i="6"/>
  <c r="A2234" i="6"/>
  <c r="A2233" i="6"/>
  <c r="A2232" i="6"/>
  <c r="F2227" i="6"/>
  <c r="D2227" i="6"/>
  <c r="E2227" i="6" s="1"/>
  <c r="B2227" i="6"/>
  <c r="A2227" i="6"/>
  <c r="F2226" i="6"/>
  <c r="D2226" i="6"/>
  <c r="E2226" i="6" s="1"/>
  <c r="B2226" i="6"/>
  <c r="A2226" i="6"/>
  <c r="F2225" i="6"/>
  <c r="D2225" i="6"/>
  <c r="E2225" i="6" s="1"/>
  <c r="B2225" i="6"/>
  <c r="A2225" i="6"/>
  <c r="F2224" i="6"/>
  <c r="D2224" i="6"/>
  <c r="E2224" i="6" s="1"/>
  <c r="B2224" i="6"/>
  <c r="A2224" i="6"/>
  <c r="F2223" i="6"/>
  <c r="D2223" i="6"/>
  <c r="E2223" i="6" s="1"/>
  <c r="B2223" i="6"/>
  <c r="A2223" i="6"/>
  <c r="F2222" i="6"/>
  <c r="D2222" i="6"/>
  <c r="E2222" i="6" s="1"/>
  <c r="B2222" i="6"/>
  <c r="A2222" i="6"/>
  <c r="F2221" i="6"/>
  <c r="D2221" i="6"/>
  <c r="E2221" i="6" s="1"/>
  <c r="B2221" i="6"/>
  <c r="A2221" i="6"/>
  <c r="F2220" i="6"/>
  <c r="D2220" i="6"/>
  <c r="E2220" i="6" s="1"/>
  <c r="B2220" i="6"/>
  <c r="A2220" i="6"/>
  <c r="F2219" i="6"/>
  <c r="D2219" i="6"/>
  <c r="B2219" i="6"/>
  <c r="A2219" i="6"/>
  <c r="F2210" i="6"/>
  <c r="G2210" i="6" s="1"/>
  <c r="E2210" i="6"/>
  <c r="F2209" i="6"/>
  <c r="G2209" i="6" s="1"/>
  <c r="E2209" i="6"/>
  <c r="F2208" i="6"/>
  <c r="G2208" i="6" s="1"/>
  <c r="E2208" i="6"/>
  <c r="F2207" i="6"/>
  <c r="G2207" i="6" s="1"/>
  <c r="E2207" i="6"/>
  <c r="F2206" i="6"/>
  <c r="G2206" i="6" s="1"/>
  <c r="E2206" i="6"/>
  <c r="F2205" i="6"/>
  <c r="G2205" i="6" s="1"/>
  <c r="E2205" i="6"/>
  <c r="F2204" i="6"/>
  <c r="G2204" i="6" s="1"/>
  <c r="E2204" i="6"/>
  <c r="F2203" i="6"/>
  <c r="G2203" i="6" s="1"/>
  <c r="E2203" i="6"/>
  <c r="F2202" i="6"/>
  <c r="G2202" i="6" s="1"/>
  <c r="E2202" i="6"/>
  <c r="F2201" i="6"/>
  <c r="G2201" i="6" s="1"/>
  <c r="E2201" i="6"/>
  <c r="B2194" i="6"/>
  <c r="G2193" i="6"/>
  <c r="B2193" i="6"/>
  <c r="B2192" i="6"/>
  <c r="B2191" i="6"/>
  <c r="F2184" i="6"/>
  <c r="G2184" i="6" s="1"/>
  <c r="D2184" i="6"/>
  <c r="B2184" i="6"/>
  <c r="A2184" i="6"/>
  <c r="F2183" i="6"/>
  <c r="G2183" i="6" s="1"/>
  <c r="D2183" i="6"/>
  <c r="B2183" i="6"/>
  <c r="A2183" i="6"/>
  <c r="F2178" i="6"/>
  <c r="G2178" i="6" s="1"/>
  <c r="D2178" i="6"/>
  <c r="B2178" i="6"/>
  <c r="A2178" i="6"/>
  <c r="G2177" i="6"/>
  <c r="G2176" i="6"/>
  <c r="G2175" i="6"/>
  <c r="G2174" i="6"/>
  <c r="G2173" i="6"/>
  <c r="G2172" i="6"/>
  <c r="G2171" i="6"/>
  <c r="G2170" i="6"/>
  <c r="G2169" i="6"/>
  <c r="G2168" i="6"/>
  <c r="F2163" i="6"/>
  <c r="E2163" i="6"/>
  <c r="B2163" i="6"/>
  <c r="A2163" i="6"/>
  <c r="F2152" i="6"/>
  <c r="G2152" i="6" s="1"/>
  <c r="D2152" i="6"/>
  <c r="E2152" i="6" s="1"/>
  <c r="B2152" i="6"/>
  <c r="A2152" i="6"/>
  <c r="F2151" i="6"/>
  <c r="G2151" i="6" s="1"/>
  <c r="D2151" i="6"/>
  <c r="E2151" i="6" s="1"/>
  <c r="B2151" i="6"/>
  <c r="A2151" i="6"/>
  <c r="F2150" i="6"/>
  <c r="D2150" i="6"/>
  <c r="E2150" i="6" s="1"/>
  <c r="B2150" i="6"/>
  <c r="A2150" i="6"/>
  <c r="F2149" i="6"/>
  <c r="D2149" i="6"/>
  <c r="E2149" i="6" s="1"/>
  <c r="B2149" i="6"/>
  <c r="A2149" i="6"/>
  <c r="F2148" i="6"/>
  <c r="D2148" i="6"/>
  <c r="E2148" i="6" s="1"/>
  <c r="B2148" i="6"/>
  <c r="A2148" i="6"/>
  <c r="F2147" i="6"/>
  <c r="D2147" i="6"/>
  <c r="E2147" i="6" s="1"/>
  <c r="B2147" i="6"/>
  <c r="A2147" i="6"/>
  <c r="F2146" i="6"/>
  <c r="D2146" i="6"/>
  <c r="E2146" i="6" s="1"/>
  <c r="B2146" i="6"/>
  <c r="A2146" i="6"/>
  <c r="F2145" i="6"/>
  <c r="D2145" i="6"/>
  <c r="E2145" i="6" s="1"/>
  <c r="B2145" i="6"/>
  <c r="A2145" i="6"/>
  <c r="F2144" i="6"/>
  <c r="D2144" i="6"/>
  <c r="B2144" i="6"/>
  <c r="A2144" i="6"/>
  <c r="F2135" i="6"/>
  <c r="G2135" i="6" s="1"/>
  <c r="E2135" i="6"/>
  <c r="F2134" i="6"/>
  <c r="G2134" i="6" s="1"/>
  <c r="E2134" i="6"/>
  <c r="F2133" i="6"/>
  <c r="G2133" i="6" s="1"/>
  <c r="E2133" i="6"/>
  <c r="F2132" i="6"/>
  <c r="G2132" i="6" s="1"/>
  <c r="E2132" i="6"/>
  <c r="F2131" i="6"/>
  <c r="G2131" i="6" s="1"/>
  <c r="E2131" i="6"/>
  <c r="F2130" i="6"/>
  <c r="G2130" i="6" s="1"/>
  <c r="E2130" i="6"/>
  <c r="F2129" i="6"/>
  <c r="G2129" i="6" s="1"/>
  <c r="E2129" i="6"/>
  <c r="F2128" i="6"/>
  <c r="G2128" i="6" s="1"/>
  <c r="E2128" i="6"/>
  <c r="F2127" i="6"/>
  <c r="G2127" i="6" s="1"/>
  <c r="E2127" i="6"/>
  <c r="F2126" i="6"/>
  <c r="G2126" i="6" s="1"/>
  <c r="E2126" i="6"/>
  <c r="B2119" i="6"/>
  <c r="G2118" i="6"/>
  <c r="B2118" i="6"/>
  <c r="B2117" i="6"/>
  <c r="B2116" i="6"/>
  <c r="F2109" i="6"/>
  <c r="G2109" i="6" s="1"/>
  <c r="D2109" i="6"/>
  <c r="B2109" i="6"/>
  <c r="A2109" i="6"/>
  <c r="F2108" i="6"/>
  <c r="G2108" i="6" s="1"/>
  <c r="D2108" i="6"/>
  <c r="B2108" i="6"/>
  <c r="A2108" i="6"/>
  <c r="F2103" i="6"/>
  <c r="G2103" i="6" s="1"/>
  <c r="B2103" i="6"/>
  <c r="A2103" i="6"/>
  <c r="G2102" i="6"/>
  <c r="G2090" i="6"/>
  <c r="F2085" i="6"/>
  <c r="E2085" i="6"/>
  <c r="B2085" i="6"/>
  <c r="A2085" i="6"/>
  <c r="F2074" i="6"/>
  <c r="D2074" i="6"/>
  <c r="E2074" i="6" s="1"/>
  <c r="B2074" i="6"/>
  <c r="A2074" i="6"/>
  <c r="F2073" i="6"/>
  <c r="G2073" i="6" s="1"/>
  <c r="F2072" i="6"/>
  <c r="G2072" i="6" s="1"/>
  <c r="F2071" i="6"/>
  <c r="G2071" i="6" s="1"/>
  <c r="F2070" i="6"/>
  <c r="G2070" i="6" s="1"/>
  <c r="F2057" i="6"/>
  <c r="G2057" i="6" s="1"/>
  <c r="E2057" i="6"/>
  <c r="F2056" i="6"/>
  <c r="G2056" i="6" s="1"/>
  <c r="E2056" i="6"/>
  <c r="F2055" i="6"/>
  <c r="G2055" i="6" s="1"/>
  <c r="E2055" i="6"/>
  <c r="F2054" i="6"/>
  <c r="G2054" i="6" s="1"/>
  <c r="E2054" i="6"/>
  <c r="F2053" i="6"/>
  <c r="G2053" i="6" s="1"/>
  <c r="E2053" i="6"/>
  <c r="F2052" i="6"/>
  <c r="G2052" i="6" s="1"/>
  <c r="E2052" i="6"/>
  <c r="F2051" i="6"/>
  <c r="G2051" i="6" s="1"/>
  <c r="E2051" i="6"/>
  <c r="F2050" i="6"/>
  <c r="G2050" i="6" s="1"/>
  <c r="E2050" i="6"/>
  <c r="F2049" i="6"/>
  <c r="G2049" i="6" s="1"/>
  <c r="E2049" i="6"/>
  <c r="F2048" i="6"/>
  <c r="G2048" i="6" s="1"/>
  <c r="E2048" i="6"/>
  <c r="B2041" i="6"/>
  <c r="G2040" i="6"/>
  <c r="B2040" i="6"/>
  <c r="B2039" i="6"/>
  <c r="B2038" i="6"/>
  <c r="F2031" i="6"/>
  <c r="G2031" i="6" s="1"/>
  <c r="D2031" i="6"/>
  <c r="B2031" i="6"/>
  <c r="A2031" i="6"/>
  <c r="F2030" i="6"/>
  <c r="G2030" i="6" s="1"/>
  <c r="D2030" i="6"/>
  <c r="B2030" i="6"/>
  <c r="A2030" i="6"/>
  <c r="F2025" i="6"/>
  <c r="G2025" i="6" s="1"/>
  <c r="D2025" i="6"/>
  <c r="B2025" i="6"/>
  <c r="A2025" i="6"/>
  <c r="F2024" i="6"/>
  <c r="G2024" i="6" s="1"/>
  <c r="G2023" i="6"/>
  <c r="G2022" i="6"/>
  <c r="G2021" i="6"/>
  <c r="G2020" i="6"/>
  <c r="G2019" i="6"/>
  <c r="G2018" i="6"/>
  <c r="G2017" i="6"/>
  <c r="G2016" i="6"/>
  <c r="F2010" i="6"/>
  <c r="E2010" i="6"/>
  <c r="B2010" i="6"/>
  <c r="A2010" i="6"/>
  <c r="F1999" i="6"/>
  <c r="D1999" i="6"/>
  <c r="E1999" i="6" s="1"/>
  <c r="B1999" i="6"/>
  <c r="A1999" i="6"/>
  <c r="G1998" i="6"/>
  <c r="B1998" i="6"/>
  <c r="A1998" i="6"/>
  <c r="G1997" i="6"/>
  <c r="B1997" i="6"/>
  <c r="A1997" i="6"/>
  <c r="G1996" i="6"/>
  <c r="B1996" i="6"/>
  <c r="A1996" i="6"/>
  <c r="G1995" i="6"/>
  <c r="B1995" i="6"/>
  <c r="A1995" i="6"/>
  <c r="A1994" i="6"/>
  <c r="A1993" i="6"/>
  <c r="B1991" i="6"/>
  <c r="A1991" i="6"/>
  <c r="F1982" i="6"/>
  <c r="G1982" i="6" s="1"/>
  <c r="E1982" i="6"/>
  <c r="G1981" i="6"/>
  <c r="G1980" i="6"/>
  <c r="G1979" i="6"/>
  <c r="G1978" i="6"/>
  <c r="G1977" i="6"/>
  <c r="G1976" i="6"/>
  <c r="G1975" i="6"/>
  <c r="G1974" i="6"/>
  <c r="B1966" i="6"/>
  <c r="G1965" i="6"/>
  <c r="B1965" i="6"/>
  <c r="B1964" i="6"/>
  <c r="B1963" i="6"/>
  <c r="F1956" i="6"/>
  <c r="G1956" i="6" s="1"/>
  <c r="D1956" i="6"/>
  <c r="B1956" i="6"/>
  <c r="A1956" i="6"/>
  <c r="F1955" i="6"/>
  <c r="G1955" i="6" s="1"/>
  <c r="D1955" i="6"/>
  <c r="B1955" i="6"/>
  <c r="A1955" i="6"/>
  <c r="F1950" i="6"/>
  <c r="G1950" i="6" s="1"/>
  <c r="D1950" i="6"/>
  <c r="B1950" i="6"/>
  <c r="A1950" i="6"/>
  <c r="G1949" i="6"/>
  <c r="G1948" i="6"/>
  <c r="G1947" i="6"/>
  <c r="G1946" i="6"/>
  <c r="G1945" i="6"/>
  <c r="G1944" i="6"/>
  <c r="G1943" i="6"/>
  <c r="G1942" i="6"/>
  <c r="G1941" i="6"/>
  <c r="G1940" i="6"/>
  <c r="B1935" i="6"/>
  <c r="A1935" i="6"/>
  <c r="F1924" i="6"/>
  <c r="D1924" i="6"/>
  <c r="E1924" i="6" s="1"/>
  <c r="B1924" i="6"/>
  <c r="A1924" i="6"/>
  <c r="G1923" i="6"/>
  <c r="G1922" i="6"/>
  <c r="G1921" i="6"/>
  <c r="G1920" i="6"/>
  <c r="F1907" i="6"/>
  <c r="G1907" i="6" s="1"/>
  <c r="E1907" i="6"/>
  <c r="G1906" i="6"/>
  <c r="G1905" i="6"/>
  <c r="G1904" i="6"/>
  <c r="G1903" i="6"/>
  <c r="G1902" i="6"/>
  <c r="G1901" i="6"/>
  <c r="G1900" i="6"/>
  <c r="G1899" i="6"/>
  <c r="G1898" i="6"/>
  <c r="B1891" i="6"/>
  <c r="G1890" i="6"/>
  <c r="B1890" i="6"/>
  <c r="B1889" i="6"/>
  <c r="B1888" i="6"/>
  <c r="F1881" i="6"/>
  <c r="G1881" i="6" s="1"/>
  <c r="D1881" i="6"/>
  <c r="B1881" i="6"/>
  <c r="A1881" i="6"/>
  <c r="F1880" i="6"/>
  <c r="G1880" i="6" s="1"/>
  <c r="G1882" i="6" s="1"/>
  <c r="D1880" i="6"/>
  <c r="B1880" i="6"/>
  <c r="A1880" i="6"/>
  <c r="F1875" i="6"/>
  <c r="G1875" i="6" s="1"/>
  <c r="D1875" i="6"/>
  <c r="B1875" i="6"/>
  <c r="A1875" i="6"/>
  <c r="G1874" i="6"/>
  <c r="G1873" i="6"/>
  <c r="G1872" i="6"/>
  <c r="G1871" i="6"/>
  <c r="G1870" i="6"/>
  <c r="G1869" i="6"/>
  <c r="G1868" i="6"/>
  <c r="G1867" i="6"/>
  <c r="G1866" i="6"/>
  <c r="G1865" i="6"/>
  <c r="F1849" i="6"/>
  <c r="E1849" i="6"/>
  <c r="B1849" i="6"/>
  <c r="A1849" i="6"/>
  <c r="F1847" i="6"/>
  <c r="E1850" i="6"/>
  <c r="F1838" i="6"/>
  <c r="D1838" i="6"/>
  <c r="E1838" i="6" s="1"/>
  <c r="B1838" i="6"/>
  <c r="A1838" i="6"/>
  <c r="G1837" i="6"/>
  <c r="G1836" i="6"/>
  <c r="G1835" i="6"/>
  <c r="G1834" i="6"/>
  <c r="F1821" i="6"/>
  <c r="G1821" i="6" s="1"/>
  <c r="E1821" i="6"/>
  <c r="G1820" i="6"/>
  <c r="G1819" i="6"/>
  <c r="G1818" i="6"/>
  <c r="G1817" i="6"/>
  <c r="G1816" i="6"/>
  <c r="G1815" i="6"/>
  <c r="G1814" i="6"/>
  <c r="G1813" i="6"/>
  <c r="G1812" i="6"/>
  <c r="B1805" i="6"/>
  <c r="G1804" i="6"/>
  <c r="B1804" i="6"/>
  <c r="B1803" i="6"/>
  <c r="B1802" i="6"/>
  <c r="F1795" i="6"/>
  <c r="G1795" i="6" s="1"/>
  <c r="D1795" i="6"/>
  <c r="B1795" i="6"/>
  <c r="A1795" i="6"/>
  <c r="F1794" i="6"/>
  <c r="G1794" i="6" s="1"/>
  <c r="D1794" i="6"/>
  <c r="B1794" i="6"/>
  <c r="A1794" i="6"/>
  <c r="F1789" i="6"/>
  <c r="G1789" i="6" s="1"/>
  <c r="D1789" i="6"/>
  <c r="B1789" i="6"/>
  <c r="A1789" i="6"/>
  <c r="G1788" i="6"/>
  <c r="G1787" i="6"/>
  <c r="G1786" i="6"/>
  <c r="G1785" i="6"/>
  <c r="G1784" i="6"/>
  <c r="G1783" i="6"/>
  <c r="G1782" i="6"/>
  <c r="G1781" i="6"/>
  <c r="G1780" i="6"/>
  <c r="G1779" i="6"/>
  <c r="F1774" i="6"/>
  <c r="E1774" i="6"/>
  <c r="B1774" i="6"/>
  <c r="A1774" i="6"/>
  <c r="F1763" i="6"/>
  <c r="D1763" i="6"/>
  <c r="E1763" i="6" s="1"/>
  <c r="B1763" i="6"/>
  <c r="A1763" i="6"/>
  <c r="G1762" i="6"/>
  <c r="G1761" i="6"/>
  <c r="G1760" i="6"/>
  <c r="G1759" i="6"/>
  <c r="F1746" i="6"/>
  <c r="G1746" i="6" s="1"/>
  <c r="E1746" i="6"/>
  <c r="G1745" i="6"/>
  <c r="G1744" i="6"/>
  <c r="G1743" i="6"/>
  <c r="G1742" i="6"/>
  <c r="G1741" i="6"/>
  <c r="G1740" i="6"/>
  <c r="G1739" i="6"/>
  <c r="G1738" i="6"/>
  <c r="G1737" i="6"/>
  <c r="B1730" i="6"/>
  <c r="G1729" i="6"/>
  <c r="B1729" i="6"/>
  <c r="B1728" i="6"/>
  <c r="B1727" i="6"/>
  <c r="F1720" i="6"/>
  <c r="G1720" i="6" s="1"/>
  <c r="D1720" i="6"/>
  <c r="B1720" i="6"/>
  <c r="A1720" i="6"/>
  <c r="F1719" i="6"/>
  <c r="G1719" i="6" s="1"/>
  <c r="D1719" i="6"/>
  <c r="B1719" i="6"/>
  <c r="A1719" i="6"/>
  <c r="F1714" i="6"/>
  <c r="G1714" i="6" s="1"/>
  <c r="D1714" i="6"/>
  <c r="B1714" i="6"/>
  <c r="A1714" i="6"/>
  <c r="G1713" i="6"/>
  <c r="G1712" i="6"/>
  <c r="G1711" i="6"/>
  <c r="G1710" i="6"/>
  <c r="G1709" i="6"/>
  <c r="G1708" i="6"/>
  <c r="G1707" i="6"/>
  <c r="G1706" i="6"/>
  <c r="G1705" i="6"/>
  <c r="G1704" i="6"/>
  <c r="F1699" i="6"/>
  <c r="E1699" i="6"/>
  <c r="B1699" i="6"/>
  <c r="A1699" i="6"/>
  <c r="F1688" i="6"/>
  <c r="D1688" i="6"/>
  <c r="E1688" i="6" s="1"/>
  <c r="B1688" i="6"/>
  <c r="A1688" i="6"/>
  <c r="G1687" i="6"/>
  <c r="B1687" i="6"/>
  <c r="A1687" i="6"/>
  <c r="G1686" i="6"/>
  <c r="G1685" i="6"/>
  <c r="G1684" i="6"/>
  <c r="F1671" i="6"/>
  <c r="G1671" i="6" s="1"/>
  <c r="E1671" i="6"/>
  <c r="F1670" i="6"/>
  <c r="G1670" i="6" s="1"/>
  <c r="E1670" i="6"/>
  <c r="F1669" i="6"/>
  <c r="G1669" i="6" s="1"/>
  <c r="E1669" i="6"/>
  <c r="F1668" i="6"/>
  <c r="G1668" i="6" s="1"/>
  <c r="E1668" i="6"/>
  <c r="F1667" i="6"/>
  <c r="G1667" i="6" s="1"/>
  <c r="E1667" i="6"/>
  <c r="F1666" i="6"/>
  <c r="G1666" i="6" s="1"/>
  <c r="E1666" i="6"/>
  <c r="G1665" i="6"/>
  <c r="G1664" i="6"/>
  <c r="G1663" i="6"/>
  <c r="G1662" i="6"/>
  <c r="B1655" i="6"/>
  <c r="G1654" i="6"/>
  <c r="B1654" i="6"/>
  <c r="B1653" i="6"/>
  <c r="B1652" i="6"/>
  <c r="F1645" i="6"/>
  <c r="G1645" i="6" s="1"/>
  <c r="D1645" i="6"/>
  <c r="B1645" i="6"/>
  <c r="A1645" i="6"/>
  <c r="F1644" i="6"/>
  <c r="G1644" i="6" s="1"/>
  <c r="D1644" i="6"/>
  <c r="B1644" i="6"/>
  <c r="A1644" i="6"/>
  <c r="F1639" i="6"/>
  <c r="G1639" i="6" s="1"/>
  <c r="D1639" i="6"/>
  <c r="B1639" i="6"/>
  <c r="A1639" i="6"/>
  <c r="G1638" i="6"/>
  <c r="G1637" i="6"/>
  <c r="G1636" i="6"/>
  <c r="G1635" i="6"/>
  <c r="G1634" i="6"/>
  <c r="G1633" i="6"/>
  <c r="G1632" i="6"/>
  <c r="G1631" i="6"/>
  <c r="G1630" i="6"/>
  <c r="G1629" i="6"/>
  <c r="F1624" i="6"/>
  <c r="E1624" i="6"/>
  <c r="B1624" i="6"/>
  <c r="A1624" i="6"/>
  <c r="F1613" i="6"/>
  <c r="D1613" i="6"/>
  <c r="E1613" i="6" s="1"/>
  <c r="B1613" i="6"/>
  <c r="A1613" i="6"/>
  <c r="G1612" i="6"/>
  <c r="B1612" i="6"/>
  <c r="A1612" i="6"/>
  <c r="G1611" i="6"/>
  <c r="B1611" i="6"/>
  <c r="A1611" i="6"/>
  <c r="G1610" i="6"/>
  <c r="G1609" i="6"/>
  <c r="F1596" i="6"/>
  <c r="G1596" i="6" s="1"/>
  <c r="E1596" i="6"/>
  <c r="F1595" i="6"/>
  <c r="G1595" i="6" s="1"/>
  <c r="F1594" i="6"/>
  <c r="G1594" i="6" s="1"/>
  <c r="F1593" i="6"/>
  <c r="G1593" i="6" s="1"/>
  <c r="F1592" i="6"/>
  <c r="G1592" i="6" s="1"/>
  <c r="F1591" i="6"/>
  <c r="G1591" i="6" s="1"/>
  <c r="G1590" i="6"/>
  <c r="G1589" i="6"/>
  <c r="G1588" i="6"/>
  <c r="G1587" i="6"/>
  <c r="B1580" i="6"/>
  <c r="G1579" i="6"/>
  <c r="B1579" i="6"/>
  <c r="B1578" i="6"/>
  <c r="B1577" i="6"/>
  <c r="F1570" i="6"/>
  <c r="G1570" i="6" s="1"/>
  <c r="D1570" i="6"/>
  <c r="B1570" i="6"/>
  <c r="A1570" i="6"/>
  <c r="F1569" i="6"/>
  <c r="G1569" i="6" s="1"/>
  <c r="D1569" i="6"/>
  <c r="B1569" i="6"/>
  <c r="A1569" i="6"/>
  <c r="F1564" i="6"/>
  <c r="G1564" i="6" s="1"/>
  <c r="D1564" i="6"/>
  <c r="B1564" i="6"/>
  <c r="A1564" i="6"/>
  <c r="G1563" i="6"/>
  <c r="G1562" i="6"/>
  <c r="G1561" i="6"/>
  <c r="G1560" i="6"/>
  <c r="G1559" i="6"/>
  <c r="G1558" i="6"/>
  <c r="G1557" i="6"/>
  <c r="G1556" i="6"/>
  <c r="G1555" i="6"/>
  <c r="G1554" i="6"/>
  <c r="F1549" i="6"/>
  <c r="E1549" i="6"/>
  <c r="B1549" i="6"/>
  <c r="A1549" i="6"/>
  <c r="F1538" i="6"/>
  <c r="D1538" i="6"/>
  <c r="E1538" i="6" s="1"/>
  <c r="B1538" i="6"/>
  <c r="A1538" i="6"/>
  <c r="G1537" i="6"/>
  <c r="G1536" i="6"/>
  <c r="G1535" i="6"/>
  <c r="G1534" i="6"/>
  <c r="F1521" i="6"/>
  <c r="G1521" i="6" s="1"/>
  <c r="E1521" i="6"/>
  <c r="G1520" i="6"/>
  <c r="G1519" i="6"/>
  <c r="G1518" i="6"/>
  <c r="G1517" i="6"/>
  <c r="G1516" i="6"/>
  <c r="G1515" i="6"/>
  <c r="G1514" i="6"/>
  <c r="G1513" i="6"/>
  <c r="G1512" i="6"/>
  <c r="B1505" i="6"/>
  <c r="G1504" i="6"/>
  <c r="B1504" i="6"/>
  <c r="B1503" i="6"/>
  <c r="B1502" i="6"/>
  <c r="F1495" i="6"/>
  <c r="G1495" i="6" s="1"/>
  <c r="D1495" i="6"/>
  <c r="B1495" i="6"/>
  <c r="A1495" i="6"/>
  <c r="F1494" i="6"/>
  <c r="G1494" i="6" s="1"/>
  <c r="D1494" i="6"/>
  <c r="B1494" i="6"/>
  <c r="A1494" i="6"/>
  <c r="F1489" i="6"/>
  <c r="G1489" i="6" s="1"/>
  <c r="D1489" i="6"/>
  <c r="B1489" i="6"/>
  <c r="A1489" i="6"/>
  <c r="G1488" i="6"/>
  <c r="G1487" i="6"/>
  <c r="G1486" i="6"/>
  <c r="G1485" i="6"/>
  <c r="G1484" i="6"/>
  <c r="G1483" i="6"/>
  <c r="G1482" i="6"/>
  <c r="G1481" i="6"/>
  <c r="G1480" i="6"/>
  <c r="G1479" i="6"/>
  <c r="F1474" i="6"/>
  <c r="E1474" i="6"/>
  <c r="B1474" i="6"/>
  <c r="A1474" i="6"/>
  <c r="F1463" i="6"/>
  <c r="D1463" i="6"/>
  <c r="E1463" i="6" s="1"/>
  <c r="B1463" i="6"/>
  <c r="A1463" i="6"/>
  <c r="G1462" i="6"/>
  <c r="G1461" i="6"/>
  <c r="G1460" i="6"/>
  <c r="G1459" i="6"/>
  <c r="F1446" i="6"/>
  <c r="G1446" i="6" s="1"/>
  <c r="E1446" i="6"/>
  <c r="G1445" i="6"/>
  <c r="G1444" i="6"/>
  <c r="G1443" i="6"/>
  <c r="G1442" i="6"/>
  <c r="G1441" i="6"/>
  <c r="G1440" i="6"/>
  <c r="G1439" i="6"/>
  <c r="G1438" i="6"/>
  <c r="G1437" i="6"/>
  <c r="B1430" i="6"/>
  <c r="G1429" i="6"/>
  <c r="B1429" i="6"/>
  <c r="B1428" i="6"/>
  <c r="B1427" i="6"/>
  <c r="F1420" i="6"/>
  <c r="G1420" i="6" s="1"/>
  <c r="D1420" i="6"/>
  <c r="B1420" i="6"/>
  <c r="A1420" i="6"/>
  <c r="F1419" i="6"/>
  <c r="G1419" i="6" s="1"/>
  <c r="D1419" i="6"/>
  <c r="B1419" i="6"/>
  <c r="A1419" i="6"/>
  <c r="F1414" i="6"/>
  <c r="G1414" i="6" s="1"/>
  <c r="D1414" i="6"/>
  <c r="B1414" i="6"/>
  <c r="A1414" i="6"/>
  <c r="G1413" i="6"/>
  <c r="G1412" i="6"/>
  <c r="G1411" i="6"/>
  <c r="G1410" i="6"/>
  <c r="G1409" i="6"/>
  <c r="G1408" i="6"/>
  <c r="G1407" i="6"/>
  <c r="G1406" i="6"/>
  <c r="G1405" i="6"/>
  <c r="G1404" i="6"/>
  <c r="F1399" i="6"/>
  <c r="E1399" i="6"/>
  <c r="B1399" i="6"/>
  <c r="A1399" i="6"/>
  <c r="F1388" i="6"/>
  <c r="D1388" i="6"/>
  <c r="E1388" i="6" s="1"/>
  <c r="B1388" i="6"/>
  <c r="A1388" i="6"/>
  <c r="G1387" i="6"/>
  <c r="G1386" i="6"/>
  <c r="G1385" i="6"/>
  <c r="G1384" i="6"/>
  <c r="F1371" i="6"/>
  <c r="G1371" i="6" s="1"/>
  <c r="E1371" i="6"/>
  <c r="G1370" i="6"/>
  <c r="G1369" i="6"/>
  <c r="G1368" i="6"/>
  <c r="G1367" i="6"/>
  <c r="G1366" i="6"/>
  <c r="G1365" i="6"/>
  <c r="G1364" i="6"/>
  <c r="G1363" i="6"/>
  <c r="G1362" i="6"/>
  <c r="B1355" i="6"/>
  <c r="G1354" i="6"/>
  <c r="B1354" i="6"/>
  <c r="B1353" i="6"/>
  <c r="B1352" i="6"/>
  <c r="F1345" i="6"/>
  <c r="G1345" i="6" s="1"/>
  <c r="D1345" i="6"/>
  <c r="B1345" i="6"/>
  <c r="A1345" i="6"/>
  <c r="F1344" i="6"/>
  <c r="G1344" i="6" s="1"/>
  <c r="D1344" i="6"/>
  <c r="B1344" i="6"/>
  <c r="A1344" i="6"/>
  <c r="F1339" i="6"/>
  <c r="G1339" i="6" s="1"/>
  <c r="D1339" i="6"/>
  <c r="B1339" i="6"/>
  <c r="A1339" i="6"/>
  <c r="G1338" i="6"/>
  <c r="B1338" i="6"/>
  <c r="A1338" i="6"/>
  <c r="G1337" i="6"/>
  <c r="B1337" i="6"/>
  <c r="A1337" i="6"/>
  <c r="G1336" i="6"/>
  <c r="B1336" i="6"/>
  <c r="A1336" i="6"/>
  <c r="G1335" i="6"/>
  <c r="B1335" i="6"/>
  <c r="A1335" i="6"/>
  <c r="G1334" i="6"/>
  <c r="B1334" i="6"/>
  <c r="A1334" i="6"/>
  <c r="G1333" i="6"/>
  <c r="B1333" i="6"/>
  <c r="A1333" i="6"/>
  <c r="G1332" i="6"/>
  <c r="B1332" i="6"/>
  <c r="A1332" i="6"/>
  <c r="G1331" i="6"/>
  <c r="B1331" i="6"/>
  <c r="A1331" i="6"/>
  <c r="G1330" i="6"/>
  <c r="B1330" i="6"/>
  <c r="A1330" i="6"/>
  <c r="G1329" i="6"/>
  <c r="B1329" i="6"/>
  <c r="A1329" i="6"/>
  <c r="F1324" i="6"/>
  <c r="E1324" i="6"/>
  <c r="B1324" i="6"/>
  <c r="A1324" i="6"/>
  <c r="B1323" i="6"/>
  <c r="A1323" i="6"/>
  <c r="F1322" i="6"/>
  <c r="B1322" i="6"/>
  <c r="A1322" i="6"/>
  <c r="F1313" i="6"/>
  <c r="D1313" i="6"/>
  <c r="E1313" i="6" s="1"/>
  <c r="G1312" i="6"/>
  <c r="G1311" i="6"/>
  <c r="G1310" i="6"/>
  <c r="G1309" i="6"/>
  <c r="B1305" i="6"/>
  <c r="A1305" i="6"/>
  <c r="F1296" i="6"/>
  <c r="G1296" i="6" s="1"/>
  <c r="E1296" i="6"/>
  <c r="G1295" i="6"/>
  <c r="G1294" i="6"/>
  <c r="G1293" i="6"/>
  <c r="G1292" i="6"/>
  <c r="G1291" i="6"/>
  <c r="G1290" i="6"/>
  <c r="G1289" i="6"/>
  <c r="G1288" i="6"/>
  <c r="G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B1263" i="6"/>
  <c r="A1263" i="6"/>
  <c r="F1262" i="6"/>
  <c r="G1262" i="6" s="1"/>
  <c r="B1262" i="6"/>
  <c r="A1262" i="6"/>
  <c r="G1261" i="6"/>
  <c r="B1261" i="6"/>
  <c r="A1261" i="6"/>
  <c r="G1260" i="6"/>
  <c r="B1260" i="6"/>
  <c r="A1260" i="6"/>
  <c r="G1259" i="6"/>
  <c r="B1259" i="6"/>
  <c r="A1259" i="6"/>
  <c r="G1258" i="6"/>
  <c r="B1258" i="6"/>
  <c r="A1258" i="6"/>
  <c r="G1257" i="6"/>
  <c r="B1257" i="6"/>
  <c r="A1257" i="6"/>
  <c r="G1256" i="6"/>
  <c r="B1256" i="6"/>
  <c r="A1256" i="6"/>
  <c r="G1255" i="6"/>
  <c r="B1255" i="6"/>
  <c r="A1255" i="6"/>
  <c r="G1254" i="6"/>
  <c r="B1254" i="6"/>
  <c r="A1254" i="6"/>
  <c r="F1249" i="6"/>
  <c r="B1249" i="6"/>
  <c r="A1249" i="6"/>
  <c r="B1248" i="6"/>
  <c r="A1248" i="6"/>
  <c r="F1247" i="6"/>
  <c r="E1247" i="6"/>
  <c r="B1247" i="6"/>
  <c r="A1247" i="6"/>
  <c r="F1238" i="6"/>
  <c r="G1238" i="6" s="1"/>
  <c r="B1238" i="6"/>
  <c r="A1238" i="6"/>
  <c r="F1237" i="6"/>
  <c r="G1237" i="6" s="1"/>
  <c r="B1237" i="6"/>
  <c r="A1237" i="6"/>
  <c r="F1236" i="6"/>
  <c r="G1236" i="6" s="1"/>
  <c r="B1236" i="6"/>
  <c r="A1236" i="6"/>
  <c r="F1235" i="6"/>
  <c r="G1235" i="6" s="1"/>
  <c r="B1235" i="6"/>
  <c r="A1235" i="6"/>
  <c r="D1234" i="6"/>
  <c r="E1234" i="6" s="1"/>
  <c r="G1234" i="6" s="1"/>
  <c r="B1234" i="6"/>
  <c r="A1234" i="6"/>
  <c r="A1233" i="6"/>
  <c r="A1232" i="6"/>
  <c r="B1230" i="6"/>
  <c r="A1230" i="6"/>
  <c r="F1221" i="6"/>
  <c r="G1221" i="6" s="1"/>
  <c r="E1221" i="6"/>
  <c r="F1220" i="6"/>
  <c r="G1220" i="6" s="1"/>
  <c r="E1220" i="6"/>
  <c r="F1219" i="6"/>
  <c r="G1219" i="6" s="1"/>
  <c r="E1219" i="6"/>
  <c r="F1218" i="6"/>
  <c r="G1218" i="6" s="1"/>
  <c r="E1218" i="6"/>
  <c r="F1217" i="6"/>
  <c r="G1217" i="6" s="1"/>
  <c r="E1217" i="6"/>
  <c r="G1216" i="6"/>
  <c r="G1215" i="6"/>
  <c r="G1214" i="6"/>
  <c r="G1213" i="6"/>
  <c r="G1212" i="6"/>
  <c r="B1205" i="6"/>
  <c r="G1204" i="6"/>
  <c r="B1204" i="6"/>
  <c r="B1203" i="6"/>
  <c r="B1202" i="6"/>
  <c r="F1195" i="6"/>
  <c r="G1195" i="6" s="1"/>
  <c r="D1195" i="6"/>
  <c r="B1195" i="6"/>
  <c r="A1195" i="6"/>
  <c r="F1194" i="6"/>
  <c r="G1194" i="6" s="1"/>
  <c r="D1194" i="6"/>
  <c r="B1194" i="6"/>
  <c r="A1194" i="6"/>
  <c r="F1189" i="6"/>
  <c r="G1189" i="6" s="1"/>
  <c r="F1188" i="6"/>
  <c r="G1188" i="6" s="1"/>
  <c r="F1187" i="6"/>
  <c r="G1187" i="6" s="1"/>
  <c r="F1186" i="6"/>
  <c r="G1186" i="6" s="1"/>
  <c r="F1185" i="6"/>
  <c r="G1185" i="6" s="1"/>
  <c r="F1184" i="6"/>
  <c r="G1184" i="6" s="1"/>
  <c r="F1183" i="6"/>
  <c r="G1183" i="6" s="1"/>
  <c r="F1182" i="6"/>
  <c r="G1182" i="6" s="1"/>
  <c r="F1181" i="6"/>
  <c r="G1181" i="6" s="1"/>
  <c r="F1180" i="6"/>
  <c r="G1180" i="6" s="1"/>
  <c r="F1179" i="6"/>
  <c r="G1179" i="6" s="1"/>
  <c r="D1179" i="6"/>
  <c r="B1179" i="6"/>
  <c r="A1179" i="6"/>
  <c r="F1174" i="6"/>
  <c r="B1174" i="6"/>
  <c r="A1174" i="6"/>
  <c r="B1173" i="6"/>
  <c r="A1173" i="6"/>
  <c r="B1172" i="6"/>
  <c r="A1172" i="6"/>
  <c r="F1163" i="6"/>
  <c r="D1163" i="6"/>
  <c r="E1163" i="6" s="1"/>
  <c r="B1163" i="6"/>
  <c r="A1163" i="6"/>
  <c r="F1162" i="6"/>
  <c r="D1162" i="6"/>
  <c r="E1162" i="6" s="1"/>
  <c r="B1162" i="6"/>
  <c r="A1162" i="6"/>
  <c r="F1161" i="6"/>
  <c r="D1161" i="6"/>
  <c r="E1161" i="6" s="1"/>
  <c r="B1161" i="6"/>
  <c r="A1161" i="6"/>
  <c r="F1160" i="6"/>
  <c r="D1160" i="6"/>
  <c r="E1160" i="6" s="1"/>
  <c r="B1160" i="6"/>
  <c r="A1160" i="6"/>
  <c r="F1159" i="6"/>
  <c r="D1159" i="6"/>
  <c r="E1159" i="6" s="1"/>
  <c r="B1159" i="6"/>
  <c r="A1159" i="6"/>
  <c r="F1146" i="6"/>
  <c r="G1146" i="6" s="1"/>
  <c r="E1146" i="6"/>
  <c r="F1145" i="6"/>
  <c r="G1145" i="6" s="1"/>
  <c r="E1145" i="6"/>
  <c r="F1144" i="6"/>
  <c r="G1144" i="6" s="1"/>
  <c r="E1144" i="6"/>
  <c r="F1143" i="6"/>
  <c r="G1143" i="6" s="1"/>
  <c r="E1143" i="6"/>
  <c r="F1142" i="6"/>
  <c r="G1142" i="6" s="1"/>
  <c r="E1142" i="6"/>
  <c r="G1141" i="6"/>
  <c r="G1140" i="6"/>
  <c r="G1139" i="6"/>
  <c r="G1138" i="6"/>
  <c r="G1137" i="6"/>
  <c r="B1130" i="6"/>
  <c r="G1129" i="6"/>
  <c r="B1129" i="6"/>
  <c r="B1128" i="6"/>
  <c r="B1127" i="6"/>
  <c r="F1120" i="6"/>
  <c r="G1120" i="6" s="1"/>
  <c r="D1120" i="6"/>
  <c r="B1120" i="6"/>
  <c r="A1120" i="6"/>
  <c r="F1119" i="6"/>
  <c r="G1119" i="6" s="1"/>
  <c r="D1119" i="6"/>
  <c r="B1119" i="6"/>
  <c r="A1119" i="6"/>
  <c r="G1114" i="6"/>
  <c r="B1114" i="6"/>
  <c r="A1114" i="6"/>
  <c r="G1113" i="6"/>
  <c r="B1113" i="6"/>
  <c r="A1113" i="6"/>
  <c r="G1112" i="6"/>
  <c r="G1111" i="6"/>
  <c r="G1110" i="6"/>
  <c r="G1109" i="6"/>
  <c r="G1108" i="6"/>
  <c r="G1107" i="6"/>
  <c r="G1106" i="6"/>
  <c r="G1105" i="6"/>
  <c r="G1104" i="6"/>
  <c r="B1099" i="6"/>
  <c r="A1099" i="6"/>
  <c r="B1098" i="6"/>
  <c r="A1098" i="6"/>
  <c r="F1088" i="6"/>
  <c r="G1088" i="6" s="1"/>
  <c r="D1088" i="6"/>
  <c r="B1088" i="6"/>
  <c r="A1088" i="6"/>
  <c r="F1087" i="6"/>
  <c r="D1087" i="6"/>
  <c r="E1087" i="6" s="1"/>
  <c r="B1087" i="6"/>
  <c r="A1087" i="6"/>
  <c r="F1086" i="6"/>
  <c r="D1086" i="6"/>
  <c r="E1086" i="6" s="1"/>
  <c r="F1085" i="6"/>
  <c r="D1085" i="6"/>
  <c r="E1085" i="6" s="1"/>
  <c r="F1084" i="6"/>
  <c r="D1084" i="6"/>
  <c r="E1084" i="6" s="1"/>
  <c r="F1071" i="6"/>
  <c r="G1071" i="6" s="1"/>
  <c r="E1071" i="6"/>
  <c r="G1070" i="6"/>
  <c r="E1070" i="6"/>
  <c r="G1069" i="6"/>
  <c r="E1069" i="6"/>
  <c r="G1068" i="6"/>
  <c r="E1068" i="6"/>
  <c r="G1067" i="6"/>
  <c r="E1067" i="6"/>
  <c r="G1066" i="6"/>
  <c r="E1066" i="6"/>
  <c r="G1065" i="6"/>
  <c r="B1055" i="6"/>
  <c r="G1054" i="6"/>
  <c r="B1054" i="6"/>
  <c r="B1053" i="6"/>
  <c r="B1052" i="6"/>
  <c r="F1045" i="6"/>
  <c r="G1045" i="6" s="1"/>
  <c r="D1045" i="6"/>
  <c r="B1045" i="6"/>
  <c r="A1045" i="6"/>
  <c r="F1044" i="6"/>
  <c r="G1044" i="6" s="1"/>
  <c r="D1044" i="6"/>
  <c r="B1044" i="6"/>
  <c r="A1044" i="6"/>
  <c r="G1039" i="6"/>
  <c r="B1039" i="6"/>
  <c r="A1039" i="6"/>
  <c r="G1038" i="6"/>
  <c r="G1037" i="6"/>
  <c r="G1036" i="6"/>
  <c r="G1035" i="6"/>
  <c r="G1034" i="6"/>
  <c r="G1033" i="6"/>
  <c r="G1032" i="6"/>
  <c r="G1031" i="6"/>
  <c r="G1030" i="6"/>
  <c r="G1029" i="6"/>
  <c r="B1024" i="6"/>
  <c r="A1024" i="6"/>
  <c r="F1023" i="6"/>
  <c r="E1023" i="6"/>
  <c r="F1022" i="6"/>
  <c r="E1022" i="6"/>
  <c r="E1024" i="6" s="1"/>
  <c r="G1024" i="6" s="1"/>
  <c r="G1013" i="6"/>
  <c r="D1013" i="6"/>
  <c r="F1012" i="6"/>
  <c r="D1012" i="6"/>
  <c r="E1012" i="6" s="1"/>
  <c r="D1011" i="6"/>
  <c r="E1011" i="6" s="1"/>
  <c r="G1011" i="6" s="1"/>
  <c r="D1010" i="6"/>
  <c r="E1010" i="6" s="1"/>
  <c r="G1010" i="6" s="1"/>
  <c r="D1009" i="6"/>
  <c r="E1009" i="6" s="1"/>
  <c r="G1009" i="6" s="1"/>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G989" i="6"/>
  <c r="G988" i="6"/>
  <c r="G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G956" i="6"/>
  <c r="B956" i="6"/>
  <c r="A956" i="6"/>
  <c r="G955" i="6"/>
  <c r="B955" i="6"/>
  <c r="A955" i="6"/>
  <c r="G954" i="6"/>
  <c r="B954" i="6"/>
  <c r="A954" i="6"/>
  <c r="E949" i="6"/>
  <c r="B949" i="6"/>
  <c r="A949" i="6"/>
  <c r="B948" i="6"/>
  <c r="A948" i="6"/>
  <c r="F947" i="6"/>
  <c r="E947" i="6"/>
  <c r="B947" i="6"/>
  <c r="A947" i="6"/>
  <c r="D938" i="6"/>
  <c r="E938" i="6" s="1"/>
  <c r="G938" i="6" s="1"/>
  <c r="B938" i="6"/>
  <c r="A938" i="6"/>
  <c r="D937" i="6"/>
  <c r="E937" i="6" s="1"/>
  <c r="G937" i="6" s="1"/>
  <c r="B937" i="6"/>
  <c r="A937" i="6"/>
  <c r="D936" i="6"/>
  <c r="E936" i="6" s="1"/>
  <c r="G936" i="6" s="1"/>
  <c r="B936" i="6"/>
  <c r="A936" i="6"/>
  <c r="D935" i="6"/>
  <c r="E935" i="6" s="1"/>
  <c r="G935" i="6" s="1"/>
  <c r="B935" i="6"/>
  <c r="A935" i="6"/>
  <c r="F934" i="6"/>
  <c r="D934" i="6"/>
  <c r="E934" i="6" s="1"/>
  <c r="B934" i="6"/>
  <c r="A934" i="6"/>
  <c r="A933" i="6"/>
  <c r="A932" i="6"/>
  <c r="F921" i="6"/>
  <c r="G921" i="6" s="1"/>
  <c r="E921" i="6"/>
  <c r="F920" i="6"/>
  <c r="G920" i="6" s="1"/>
  <c r="E920" i="6"/>
  <c r="F919" i="6"/>
  <c r="G919" i="6" s="1"/>
  <c r="E919" i="6"/>
  <c r="F918" i="6"/>
  <c r="G918" i="6" s="1"/>
  <c r="E918" i="6"/>
  <c r="F917" i="6"/>
  <c r="G917" i="6" s="1"/>
  <c r="E917" i="6"/>
  <c r="F916" i="6"/>
  <c r="G916" i="6" s="1"/>
  <c r="E916" i="6"/>
  <c r="G915" i="6"/>
  <c r="G914" i="6"/>
  <c r="G913" i="6"/>
  <c r="G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G881" i="6"/>
  <c r="D881" i="6"/>
  <c r="B881" i="6"/>
  <c r="A881" i="6"/>
  <c r="G880" i="6"/>
  <c r="D880" i="6"/>
  <c r="B880" i="6"/>
  <c r="A880" i="6"/>
  <c r="G879" i="6"/>
  <c r="B879" i="6"/>
  <c r="A879" i="6"/>
  <c r="F874" i="6"/>
  <c r="E874" i="6"/>
  <c r="B874" i="6"/>
  <c r="A874" i="6"/>
  <c r="D863" i="6"/>
  <c r="B863" i="6"/>
  <c r="A863" i="6"/>
  <c r="D862" i="6"/>
  <c r="E862" i="6" s="1"/>
  <c r="G862" i="6" s="1"/>
  <c r="B862" i="6"/>
  <c r="A862" i="6"/>
  <c r="D861" i="6"/>
  <c r="E861" i="6" s="1"/>
  <c r="G861" i="6" s="1"/>
  <c r="B861" i="6"/>
  <c r="A861" i="6"/>
  <c r="F860" i="6"/>
  <c r="D860" i="6"/>
  <c r="E860" i="6" s="1"/>
  <c r="B860" i="6"/>
  <c r="A860" i="6"/>
  <c r="D859" i="6"/>
  <c r="E859" i="6" s="1"/>
  <c r="G859" i="6" s="1"/>
  <c r="B859" i="6"/>
  <c r="A859" i="6"/>
  <c r="A858" i="6"/>
  <c r="A857" i="6"/>
  <c r="B855" i="6"/>
  <c r="A855" i="6"/>
  <c r="F846" i="6"/>
  <c r="G846" i="6" s="1"/>
  <c r="E846" i="6"/>
  <c r="F845" i="6"/>
  <c r="G845" i="6" s="1"/>
  <c r="E845" i="6"/>
  <c r="F844" i="6"/>
  <c r="G844" i="6" s="1"/>
  <c r="E844" i="6"/>
  <c r="F843" i="6"/>
  <c r="G843" i="6" s="1"/>
  <c r="E843" i="6"/>
  <c r="F842" i="6"/>
  <c r="G842" i="6" s="1"/>
  <c r="E842" i="6"/>
  <c r="F841" i="6"/>
  <c r="G841" i="6" s="1"/>
  <c r="E841" i="6"/>
  <c r="G840" i="6"/>
  <c r="G839" i="6"/>
  <c r="G838" i="6"/>
  <c r="G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B809" i="6"/>
  <c r="A809" i="6"/>
  <c r="F808" i="6"/>
  <c r="G808" i="6" s="1"/>
  <c r="D808" i="6"/>
  <c r="B808" i="6"/>
  <c r="A808" i="6"/>
  <c r="F807" i="6"/>
  <c r="G807" i="6" s="1"/>
  <c r="D807" i="6"/>
  <c r="B807" i="6"/>
  <c r="A807" i="6"/>
  <c r="F806" i="6"/>
  <c r="G806" i="6" s="1"/>
  <c r="D806" i="6"/>
  <c r="B806" i="6"/>
  <c r="A806" i="6"/>
  <c r="F805" i="6"/>
  <c r="G805" i="6" s="1"/>
  <c r="B805" i="6"/>
  <c r="A805" i="6"/>
  <c r="G804" i="6"/>
  <c r="B804" i="6"/>
  <c r="A804" i="6"/>
  <c r="E799" i="6"/>
  <c r="B799" i="6"/>
  <c r="A799" i="6"/>
  <c r="B798" i="6"/>
  <c r="A798" i="6"/>
  <c r="E797" i="6"/>
  <c r="B797" i="6"/>
  <c r="A797"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0" i="6"/>
  <c r="F771" i="6"/>
  <c r="G771" i="6" s="1"/>
  <c r="E771" i="6"/>
  <c r="F770" i="6"/>
  <c r="G770" i="6" s="1"/>
  <c r="E770" i="6"/>
  <c r="F769" i="6"/>
  <c r="G769" i="6" s="1"/>
  <c r="E769" i="6"/>
  <c r="F768" i="6"/>
  <c r="G768" i="6" s="1"/>
  <c r="E768" i="6"/>
  <c r="F767" i="6"/>
  <c r="G767" i="6" s="1"/>
  <c r="E767" i="6"/>
  <c r="G766" i="6"/>
  <c r="G765" i="6"/>
  <c r="G764" i="6"/>
  <c r="G763" i="6"/>
  <c r="G762" i="6"/>
  <c r="B755" i="6"/>
  <c r="G754" i="6"/>
  <c r="B754" i="6"/>
  <c r="B753" i="6"/>
  <c r="B752" i="6"/>
  <c r="F745" i="6"/>
  <c r="G745" i="6" s="1"/>
  <c r="D745" i="6"/>
  <c r="B745" i="6"/>
  <c r="A745" i="6"/>
  <c r="F744" i="6"/>
  <c r="G744" i="6" s="1"/>
  <c r="D744" i="6"/>
  <c r="B744" i="6"/>
  <c r="A744" i="6"/>
  <c r="F739" i="6"/>
  <c r="G739" i="6" s="1"/>
  <c r="D739" i="6"/>
  <c r="B739" i="6"/>
  <c r="A739" i="6"/>
  <c r="G738" i="6"/>
  <c r="D738" i="6"/>
  <c r="B738" i="6"/>
  <c r="A738" i="6"/>
  <c r="G737" i="6"/>
  <c r="D737" i="6"/>
  <c r="B737" i="6"/>
  <c r="A737" i="6"/>
  <c r="G736" i="6"/>
  <c r="D736" i="6"/>
  <c r="B736" i="6"/>
  <c r="A736" i="6"/>
  <c r="G735" i="6"/>
  <c r="D735" i="6"/>
  <c r="B735" i="6"/>
  <c r="A735" i="6"/>
  <c r="G734" i="6"/>
  <c r="D734" i="6"/>
  <c r="B734" i="6"/>
  <c r="A734" i="6"/>
  <c r="G733" i="6"/>
  <c r="D733" i="6"/>
  <c r="B733" i="6"/>
  <c r="A733" i="6"/>
  <c r="G732" i="6"/>
  <c r="D732" i="6"/>
  <c r="B732" i="6"/>
  <c r="A732" i="6"/>
  <c r="G731" i="6"/>
  <c r="D731" i="6"/>
  <c r="B731" i="6"/>
  <c r="A731" i="6"/>
  <c r="G730" i="6"/>
  <c r="D730" i="6"/>
  <c r="B730" i="6"/>
  <c r="A730" i="6"/>
  <c r="G729" i="6"/>
  <c r="B729" i="6"/>
  <c r="A729" i="6"/>
  <c r="F724" i="6"/>
  <c r="E724" i="6"/>
  <c r="B724" i="6"/>
  <c r="A724" i="6"/>
  <c r="B723" i="6"/>
  <c r="A723" i="6"/>
  <c r="F722" i="6"/>
  <c r="E722" i="6"/>
  <c r="B722" i="6"/>
  <c r="A722" i="6"/>
  <c r="F713" i="6"/>
  <c r="D713" i="6"/>
  <c r="E713" i="6" s="1"/>
  <c r="B713" i="6"/>
  <c r="A713" i="6"/>
  <c r="F712" i="6"/>
  <c r="D712" i="6"/>
  <c r="E712" i="6" s="1"/>
  <c r="B712" i="6"/>
  <c r="A712" i="6"/>
  <c r="F711" i="6"/>
  <c r="D711" i="6"/>
  <c r="E711" i="6" s="1"/>
  <c r="B711" i="6"/>
  <c r="A711" i="6"/>
  <c r="F710" i="6"/>
  <c r="D710" i="6"/>
  <c r="E710" i="6" s="1"/>
  <c r="B710" i="6"/>
  <c r="A710" i="6"/>
  <c r="F709" i="6"/>
  <c r="D709" i="6"/>
  <c r="E709" i="6" s="1"/>
  <c r="B709" i="6"/>
  <c r="A709" i="6"/>
  <c r="A708" i="6"/>
  <c r="A707" i="6"/>
  <c r="B705" i="6"/>
  <c r="A705" i="6"/>
  <c r="F696" i="6"/>
  <c r="G696" i="6" s="1"/>
  <c r="E696" i="6"/>
  <c r="F695" i="6"/>
  <c r="G695" i="6" s="1"/>
  <c r="E695" i="6"/>
  <c r="F694" i="6"/>
  <c r="G694" i="6" s="1"/>
  <c r="E694" i="6"/>
  <c r="F693" i="6"/>
  <c r="G693" i="6" s="1"/>
  <c r="E693" i="6"/>
  <c r="F692" i="6"/>
  <c r="G692" i="6" s="1"/>
  <c r="E692" i="6"/>
  <c r="F691" i="6"/>
  <c r="G691" i="6" s="1"/>
  <c r="E691" i="6"/>
  <c r="G690" i="6"/>
  <c r="G689" i="6"/>
  <c r="G688" i="6"/>
  <c r="G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G657" i="6"/>
  <c r="B657" i="6"/>
  <c r="A657" i="6"/>
  <c r="G656" i="6"/>
  <c r="B656" i="6"/>
  <c r="A656" i="6"/>
  <c r="G655" i="6"/>
  <c r="G654" i="6"/>
  <c r="E649" i="6"/>
  <c r="B649" i="6"/>
  <c r="A649" i="6"/>
  <c r="B648" i="6"/>
  <c r="A648" i="6"/>
  <c r="E647" i="6"/>
  <c r="B647" i="6"/>
  <c r="A647"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G614" i="6"/>
  <c r="G613" i="6"/>
  <c r="G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G584" i="6"/>
  <c r="B584" i="6"/>
  <c r="A584" i="6"/>
  <c r="G583" i="6"/>
  <c r="B583" i="6"/>
  <c r="A583" i="6"/>
  <c r="G582" i="6"/>
  <c r="B582" i="6"/>
  <c r="A582" i="6"/>
  <c r="G581" i="6"/>
  <c r="B581" i="6"/>
  <c r="A581" i="6"/>
  <c r="G580" i="6"/>
  <c r="A580" i="6"/>
  <c r="G579" i="6"/>
  <c r="A579" i="6"/>
  <c r="E574" i="6"/>
  <c r="B574" i="6"/>
  <c r="A574" i="6"/>
  <c r="B573" i="6"/>
  <c r="A573" i="6"/>
  <c r="E572" i="6"/>
  <c r="B572" i="6"/>
  <c r="A572" i="6"/>
  <c r="F563" i="6"/>
  <c r="G563" i="6" s="1"/>
  <c r="D563" i="6"/>
  <c r="B563" i="6"/>
  <c r="A563" i="6"/>
  <c r="F562" i="6"/>
  <c r="G562" i="6" s="1"/>
  <c r="D562" i="6"/>
  <c r="B562" i="6"/>
  <c r="A562" i="6"/>
  <c r="F561" i="6"/>
  <c r="D561" i="6"/>
  <c r="E561" i="6" s="1"/>
  <c r="B561" i="6"/>
  <c r="A561" i="6"/>
  <c r="F560" i="6"/>
  <c r="D560" i="6"/>
  <c r="E560" i="6" s="1"/>
  <c r="B560" i="6"/>
  <c r="A560" i="6"/>
  <c r="F559" i="6"/>
  <c r="D559" i="6"/>
  <c r="E559" i="6" s="1"/>
  <c r="B559" i="6"/>
  <c r="A559" i="6"/>
  <c r="A558" i="6"/>
  <c r="A557" i="6"/>
  <c r="B555" i="6"/>
  <c r="A555" i="6"/>
  <c r="F546" i="6"/>
  <c r="G546" i="6" s="1"/>
  <c r="E546" i="6"/>
  <c r="F545" i="6"/>
  <c r="G545" i="6" s="1"/>
  <c r="E545" i="6"/>
  <c r="F544" i="6"/>
  <c r="G544" i="6" s="1"/>
  <c r="E544" i="6"/>
  <c r="G543" i="6"/>
  <c r="E543" i="6"/>
  <c r="G542" i="6"/>
  <c r="E542" i="6"/>
  <c r="G541" i="6"/>
  <c r="G540" i="6"/>
  <c r="G539" i="6"/>
  <c r="G538" i="6"/>
  <c r="G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G508" i="6"/>
  <c r="D508" i="6"/>
  <c r="B508" i="6"/>
  <c r="A508" i="6"/>
  <c r="G507" i="6"/>
  <c r="B507" i="6"/>
  <c r="A507" i="6"/>
  <c r="G506" i="6"/>
  <c r="B506" i="6"/>
  <c r="A506" i="6"/>
  <c r="G505" i="6"/>
  <c r="B505" i="6"/>
  <c r="A505" i="6"/>
  <c r="G504" i="6"/>
  <c r="B504" i="6"/>
  <c r="A504" i="6"/>
  <c r="F499" i="6"/>
  <c r="E499" i="6"/>
  <c r="B499" i="6"/>
  <c r="A499" i="6"/>
  <c r="F497" i="6"/>
  <c r="E497" i="6"/>
  <c r="F488" i="6"/>
  <c r="G488" i="6" s="1"/>
  <c r="D488" i="6"/>
  <c r="B488" i="6"/>
  <c r="A488" i="6"/>
  <c r="F487" i="6"/>
  <c r="G487" i="6" s="1"/>
  <c r="D487" i="6"/>
  <c r="B487" i="6"/>
  <c r="A487" i="6"/>
  <c r="F486" i="6"/>
  <c r="D486" i="6"/>
  <c r="E486" i="6" s="1"/>
  <c r="B486" i="6"/>
  <c r="A486" i="6"/>
  <c r="F485" i="6"/>
  <c r="G485" i="6" s="1"/>
  <c r="B485" i="6"/>
  <c r="A485" i="6"/>
  <c r="F484" i="6"/>
  <c r="G484" i="6" s="1"/>
  <c r="B484" i="6"/>
  <c r="A484" i="6"/>
  <c r="A483" i="6"/>
  <c r="A482" i="6"/>
  <c r="B480" i="6"/>
  <c r="A480" i="6"/>
  <c r="F471" i="6"/>
  <c r="G471" i="6" s="1"/>
  <c r="E471" i="6"/>
  <c r="F470" i="6"/>
  <c r="G470" i="6" s="1"/>
  <c r="E470" i="6"/>
  <c r="F469" i="6"/>
  <c r="G469" i="6" s="1"/>
  <c r="E469" i="6"/>
  <c r="F468" i="6"/>
  <c r="G468" i="6" s="1"/>
  <c r="E468" i="6"/>
  <c r="G467" i="6"/>
  <c r="G466" i="6"/>
  <c r="G465" i="6"/>
  <c r="G464" i="6"/>
  <c r="G463" i="6"/>
  <c r="G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D436" i="6"/>
  <c r="B436" i="6"/>
  <c r="A436" i="6"/>
  <c r="G435" i="6"/>
  <c r="D435" i="6"/>
  <c r="B435" i="6"/>
  <c r="A435" i="6"/>
  <c r="G434" i="6"/>
  <c r="D434" i="6"/>
  <c r="B434" i="6"/>
  <c r="A434" i="6"/>
  <c r="G433" i="6"/>
  <c r="D433" i="6"/>
  <c r="B433" i="6"/>
  <c r="A433" i="6"/>
  <c r="G432" i="6"/>
  <c r="B432" i="6"/>
  <c r="A432" i="6"/>
  <c r="G431" i="6"/>
  <c r="B431" i="6"/>
  <c r="A431" i="6"/>
  <c r="G430" i="6"/>
  <c r="B430" i="6"/>
  <c r="A430" i="6"/>
  <c r="G429" i="6"/>
  <c r="B429" i="6"/>
  <c r="A429" i="6"/>
  <c r="F424" i="6"/>
  <c r="E424" i="6"/>
  <c r="B424" i="6"/>
  <c r="A424" i="6"/>
  <c r="B423" i="6"/>
  <c r="A423" i="6"/>
  <c r="F422" i="6"/>
  <c r="B422" i="6"/>
  <c r="A422" i="6"/>
  <c r="F413" i="6"/>
  <c r="G413" i="6" s="1"/>
  <c r="D413" i="6"/>
  <c r="E418" i="6" s="1"/>
  <c r="B413" i="6"/>
  <c r="A413" i="6"/>
  <c r="F412" i="6"/>
  <c r="G412" i="6" s="1"/>
  <c r="D412" i="6"/>
  <c r="B412" i="6"/>
  <c r="A412" i="6"/>
  <c r="F411" i="6"/>
  <c r="G411" i="6" s="1"/>
  <c r="B411" i="6"/>
  <c r="A411" i="6"/>
  <c r="F410" i="6"/>
  <c r="G410" i="6" s="1"/>
  <c r="B410" i="6"/>
  <c r="A410" i="6"/>
  <c r="F409" i="6"/>
  <c r="G409" i="6" s="1"/>
  <c r="B409" i="6"/>
  <c r="A409" i="6"/>
  <c r="A408" i="6"/>
  <c r="A407" i="6"/>
  <c r="B405" i="6"/>
  <c r="A405" i="6"/>
  <c r="F396" i="6"/>
  <c r="G396" i="6" s="1"/>
  <c r="E396" i="6"/>
  <c r="F395" i="6"/>
  <c r="G395" i="6" s="1"/>
  <c r="E395" i="6"/>
  <c r="F394" i="6"/>
  <c r="G394" i="6" s="1"/>
  <c r="E394" i="6"/>
  <c r="F393" i="6"/>
  <c r="G393" i="6" s="1"/>
  <c r="E393" i="6"/>
  <c r="F392" i="6"/>
  <c r="G392" i="6" s="1"/>
  <c r="E392" i="6"/>
  <c r="G391" i="6"/>
  <c r="G390" i="6"/>
  <c r="G389" i="6"/>
  <c r="G388" i="6"/>
  <c r="G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B358" i="6"/>
  <c r="A358" i="6"/>
  <c r="F357" i="6"/>
  <c r="G357" i="6" s="1"/>
  <c r="B357" i="6"/>
  <c r="A357" i="6"/>
  <c r="F356" i="6"/>
  <c r="G356" i="6" s="1"/>
  <c r="B356" i="6"/>
  <c r="A356" i="6"/>
  <c r="G355" i="6"/>
  <c r="B355" i="6"/>
  <c r="A355" i="6"/>
  <c r="G354" i="6"/>
  <c r="B354" i="6"/>
  <c r="A354" i="6"/>
  <c r="F349" i="6"/>
  <c r="E349" i="6"/>
  <c r="B349" i="6"/>
  <c r="A349" i="6"/>
  <c r="A348" i="6"/>
  <c r="F347" i="6"/>
  <c r="A347" i="6"/>
  <c r="F338" i="6"/>
  <c r="G338" i="6" s="1"/>
  <c r="D338" i="6"/>
  <c r="E343" i="6" s="1"/>
  <c r="B338" i="6"/>
  <c r="A338" i="6"/>
  <c r="F337" i="6"/>
  <c r="G337" i="6" s="1"/>
  <c r="B337" i="6"/>
  <c r="A337" i="6"/>
  <c r="F336" i="6"/>
  <c r="G336" i="6" s="1"/>
  <c r="B336" i="6"/>
  <c r="A336" i="6"/>
  <c r="F335" i="6"/>
  <c r="G335" i="6" s="1"/>
  <c r="B335" i="6"/>
  <c r="A335" i="6"/>
  <c r="F334" i="6"/>
  <c r="G334" i="6" s="1"/>
  <c r="B334" i="6"/>
  <c r="A334" i="6"/>
  <c r="A333" i="6"/>
  <c r="A332" i="6"/>
  <c r="B330" i="6"/>
  <c r="A330" i="6"/>
  <c r="F321" i="6"/>
  <c r="G321" i="6" s="1"/>
  <c r="E321" i="6"/>
  <c r="F320" i="6"/>
  <c r="G320" i="6" s="1"/>
  <c r="F319" i="6"/>
  <c r="G319" i="6" s="1"/>
  <c r="F318" i="6"/>
  <c r="G318" i="6" s="1"/>
  <c r="F317" i="6"/>
  <c r="G317" i="6" s="1"/>
  <c r="G316" i="6"/>
  <c r="G315" i="6"/>
  <c r="G314" i="6"/>
  <c r="G313" i="6"/>
  <c r="G312" i="6"/>
  <c r="B305" i="6"/>
  <c r="G304" i="6"/>
  <c r="B304" i="6"/>
  <c r="B303" i="6"/>
  <c r="B302" i="6"/>
  <c r="F295" i="6"/>
  <c r="G295" i="6" s="1"/>
  <c r="D295" i="6"/>
  <c r="B295" i="6"/>
  <c r="A295" i="6"/>
  <c r="F294" i="6"/>
  <c r="G294" i="6" s="1"/>
  <c r="D294" i="6"/>
  <c r="B294" i="6"/>
  <c r="A294" i="6"/>
  <c r="F289" i="6"/>
  <c r="D289" i="6"/>
  <c r="B289" i="6"/>
  <c r="A289" i="6"/>
  <c r="F288" i="6"/>
  <c r="G288" i="6" s="1"/>
  <c r="B288" i="6"/>
  <c r="A288" i="6"/>
  <c r="B287" i="6"/>
  <c r="A287" i="6"/>
  <c r="G286" i="6"/>
  <c r="B286" i="6"/>
  <c r="A286" i="6"/>
  <c r="B285" i="6"/>
  <c r="A285" i="6"/>
  <c r="G284" i="6"/>
  <c r="B284" i="6"/>
  <c r="A284" i="6"/>
  <c r="B283" i="6"/>
  <c r="A283" i="6"/>
  <c r="G282" i="6"/>
  <c r="B282" i="6"/>
  <c r="A282" i="6"/>
  <c r="B281" i="6"/>
  <c r="A281" i="6"/>
  <c r="G280" i="6"/>
  <c r="B280" i="6"/>
  <c r="A280" i="6"/>
  <c r="B279" i="6"/>
  <c r="A279" i="6"/>
  <c r="F274" i="6"/>
  <c r="E274" i="6"/>
  <c r="B274" i="6"/>
  <c r="A274" i="6"/>
  <c r="B273" i="6"/>
  <c r="A273" i="6"/>
  <c r="F272" i="6"/>
  <c r="E272" i="6"/>
  <c r="B272" i="6"/>
  <c r="A272" i="6"/>
  <c r="F263" i="6"/>
  <c r="G263" i="6" s="1"/>
  <c r="D263" i="6"/>
  <c r="B263" i="6"/>
  <c r="A263" i="6"/>
  <c r="F262" i="6"/>
  <c r="G262" i="6" s="1"/>
  <c r="B262" i="6"/>
  <c r="A262" i="6"/>
  <c r="F261" i="6"/>
  <c r="G261" i="6" s="1"/>
  <c r="F260" i="6"/>
  <c r="G260" i="6" s="1"/>
  <c r="F259" i="6"/>
  <c r="G259" i="6" s="1"/>
  <c r="F246" i="6"/>
  <c r="G246" i="6" s="1"/>
  <c r="E246" i="6"/>
  <c r="F245" i="6"/>
  <c r="G245" i="6" s="1"/>
  <c r="E245" i="6"/>
  <c r="G244" i="6"/>
  <c r="G243" i="6"/>
  <c r="G242" i="6"/>
  <c r="G241" i="6"/>
  <c r="G240" i="6"/>
  <c r="G239" i="6"/>
  <c r="G238" i="6"/>
  <c r="G237" i="6"/>
  <c r="B230" i="6"/>
  <c r="G229" i="6"/>
  <c r="B229" i="6"/>
  <c r="B228" i="6"/>
  <c r="B227" i="6"/>
  <c r="F220" i="6"/>
  <c r="G220" i="6" s="1"/>
  <c r="D220" i="6"/>
  <c r="B220" i="6"/>
  <c r="A220" i="6"/>
  <c r="F219" i="6"/>
  <c r="G219" i="6" s="1"/>
  <c r="D219" i="6"/>
  <c r="B219" i="6"/>
  <c r="A219" i="6"/>
  <c r="F214" i="6"/>
  <c r="D214" i="6"/>
  <c r="B214" i="6"/>
  <c r="A214" i="6"/>
  <c r="G213" i="6"/>
  <c r="D213" i="6"/>
  <c r="B213" i="6"/>
  <c r="A213" i="6"/>
  <c r="G212" i="6"/>
  <c r="D212" i="6"/>
  <c r="B212" i="6"/>
  <c r="A212" i="6"/>
  <c r="G211" i="6"/>
  <c r="D211" i="6"/>
  <c r="B211" i="6"/>
  <c r="A211" i="6"/>
  <c r="D210" i="6"/>
  <c r="B210" i="6"/>
  <c r="A210" i="6"/>
  <c r="G209" i="6"/>
  <c r="D209" i="6"/>
  <c r="G208" i="6"/>
  <c r="D208" i="6"/>
  <c r="G207" i="6"/>
  <c r="D207" i="6"/>
  <c r="D206" i="6"/>
  <c r="G205" i="6"/>
  <c r="G204" i="6"/>
  <c r="F199" i="6"/>
  <c r="E199" i="6"/>
  <c r="A199" i="6"/>
  <c r="B197" i="6"/>
  <c r="F188" i="6"/>
  <c r="G188" i="6" s="1"/>
  <c r="D188" i="6"/>
  <c r="B188" i="6"/>
  <c r="A188" i="6"/>
  <c r="F187" i="6"/>
  <c r="G187" i="6" s="1"/>
  <c r="D187" i="6"/>
  <c r="F186" i="6"/>
  <c r="G186" i="6" s="1"/>
  <c r="D186" i="6"/>
  <c r="F185" i="6"/>
  <c r="G185" i="6" s="1"/>
  <c r="D185" i="6"/>
  <c r="F184" i="6"/>
  <c r="G184" i="6" s="1"/>
  <c r="F171" i="6"/>
  <c r="E171" i="6"/>
  <c r="G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B123" i="6"/>
  <c r="A123" i="6"/>
  <c r="F122" i="6"/>
  <c r="F113" i="6"/>
  <c r="G113" i="6" s="1"/>
  <c r="D113" i="6"/>
  <c r="B113" i="6"/>
  <c r="A113" i="6"/>
  <c r="F112" i="6"/>
  <c r="G112" i="6" s="1"/>
  <c r="B112" i="6"/>
  <c r="A112" i="6"/>
  <c r="F111" i="6"/>
  <c r="G111" i="6" s="1"/>
  <c r="B111" i="6"/>
  <c r="A111" i="6"/>
  <c r="F110" i="6"/>
  <c r="G110" i="6" s="1"/>
  <c r="B110" i="6"/>
  <c r="A110" i="6"/>
  <c r="F109" i="6"/>
  <c r="G109" i="6" s="1"/>
  <c r="B109" i="6"/>
  <c r="A109" i="6"/>
  <c r="A108" i="6"/>
  <c r="A107" i="6"/>
  <c r="B105" i="6"/>
  <c r="A105" i="6"/>
  <c r="F96" i="6"/>
  <c r="G96" i="6" s="1"/>
  <c r="E96" i="6"/>
  <c r="F95" i="6"/>
  <c r="G95" i="6" s="1"/>
  <c r="E95" i="6"/>
  <c r="F94" i="6"/>
  <c r="G94" i="6" s="1"/>
  <c r="E94" i="6"/>
  <c r="F93" i="6"/>
  <c r="G93" i="6" s="1"/>
  <c r="E93" i="6"/>
  <c r="F92" i="6"/>
  <c r="G92" i="6" s="1"/>
  <c r="E92" i="6"/>
  <c r="G91" i="6"/>
  <c r="G90" i="6"/>
  <c r="G89" i="6"/>
  <c r="G88" i="6"/>
  <c r="G87" i="6"/>
  <c r="B80" i="6"/>
  <c r="G79" i="6"/>
  <c r="B79" i="6"/>
  <c r="B78" i="6"/>
  <c r="B7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221" i="6" l="1"/>
  <c r="G2145" i="6"/>
  <c r="G2146" i="6"/>
  <c r="G2147" i="6"/>
  <c r="G2148" i="6"/>
  <c r="G2149" i="6"/>
  <c r="G2150" i="6"/>
  <c r="G1086" i="6"/>
  <c r="G1087" i="6"/>
  <c r="G709" i="6"/>
  <c r="G710" i="6"/>
  <c r="G711" i="6"/>
  <c r="G712" i="6"/>
  <c r="G713" i="6"/>
  <c r="G559" i="6"/>
  <c r="G560" i="6"/>
  <c r="G561" i="6"/>
  <c r="G486" i="6"/>
  <c r="G1084" i="6"/>
  <c r="G1688" i="6"/>
  <c r="G1838" i="6"/>
  <c r="G1924" i="6"/>
  <c r="G1774" i="6"/>
  <c r="E863" i="6"/>
  <c r="G863" i="6" s="1"/>
  <c r="G1012" i="6"/>
  <c r="G1159" i="6"/>
  <c r="G1160" i="6"/>
  <c r="G1161" i="6"/>
  <c r="G1162" i="6"/>
  <c r="G1163" i="6"/>
  <c r="G1463" i="6"/>
  <c r="G1613" i="6"/>
  <c r="G1999" i="6"/>
  <c r="E420" i="6"/>
  <c r="E422" i="6" s="1"/>
  <c r="G422" i="6" s="1"/>
  <c r="E421" i="6"/>
  <c r="G421" i="6" s="1"/>
  <c r="G860" i="6"/>
  <c r="G934" i="6"/>
  <c r="G1388" i="6"/>
  <c r="G1538" i="6"/>
  <c r="G2074" i="6"/>
  <c r="E346" i="6"/>
  <c r="G346" i="6" s="1"/>
  <c r="E345" i="6"/>
  <c r="E347" i="6" s="1"/>
  <c r="G347" i="6" s="1"/>
  <c r="G1085" i="6"/>
  <c r="G1313" i="6"/>
  <c r="G1763" i="6"/>
  <c r="G2220" i="6"/>
  <c r="G2221" i="6"/>
  <c r="G2222" i="6"/>
  <c r="G2223" i="6"/>
  <c r="G2224" i="6"/>
  <c r="G2225" i="6"/>
  <c r="G2226" i="6"/>
  <c r="G2227" i="6"/>
  <c r="G1721" i="6"/>
  <c r="G1957" i="6"/>
  <c r="G1022" i="6"/>
  <c r="G1247" i="6"/>
  <c r="G1023" i="6"/>
  <c r="G1876" i="6"/>
  <c r="G1845" i="6"/>
  <c r="G718" i="6"/>
  <c r="G1796" i="6"/>
  <c r="G1097" i="6"/>
  <c r="G493" i="6"/>
  <c r="G146" i="6"/>
  <c r="G723" i="6"/>
  <c r="G947" i="6"/>
  <c r="G1169" i="6"/>
  <c r="G1473" i="6"/>
  <c r="G1549" i="6"/>
  <c r="G1620" i="6"/>
  <c r="G1623" i="6"/>
  <c r="G1695" i="6"/>
  <c r="G1698" i="6"/>
  <c r="G2185" i="6"/>
  <c r="G494" i="6"/>
  <c r="G943" i="6"/>
  <c r="G946" i="6"/>
  <c r="G1619" i="6"/>
  <c r="G2005" i="6"/>
  <c r="E323" i="6"/>
  <c r="G1543" i="6"/>
  <c r="G1544" i="6"/>
  <c r="G1548" i="6"/>
  <c r="G1844" i="6"/>
  <c r="G1846" i="6"/>
  <c r="G349" i="6"/>
  <c r="G1319" i="6"/>
  <c r="G1323" i="6"/>
  <c r="G1396" i="6"/>
  <c r="G1398" i="6"/>
  <c r="G1399" i="6"/>
  <c r="G569" i="6"/>
  <c r="G574" i="6"/>
  <c r="G419" i="6"/>
  <c r="G643" i="6"/>
  <c r="G645" i="6"/>
  <c r="G646" i="6"/>
  <c r="G647" i="6"/>
  <c r="G648" i="6"/>
  <c r="G649" i="6"/>
  <c r="G343" i="6"/>
  <c r="G344" i="6"/>
  <c r="G495" i="6"/>
  <c r="G496" i="6"/>
  <c r="G498" i="6"/>
  <c r="G499" i="6"/>
  <c r="G573" i="6"/>
  <c r="G590" i="6"/>
  <c r="G644" i="6"/>
  <c r="G869" i="6"/>
  <c r="G1094" i="6"/>
  <c r="G1095" i="6"/>
  <c r="G1096" i="6"/>
  <c r="G1170" i="6"/>
  <c r="G1173" i="6"/>
  <c r="G1174" i="6"/>
  <c r="G473" i="6"/>
  <c r="G719" i="6"/>
  <c r="G720" i="6"/>
  <c r="G721" i="6"/>
  <c r="G722" i="6"/>
  <c r="G794" i="6"/>
  <c r="G796" i="6"/>
  <c r="G797" i="6"/>
  <c r="G798" i="6"/>
  <c r="G568" i="6"/>
  <c r="E698" i="6"/>
  <c r="G1249" i="6"/>
  <c r="G1322" i="6"/>
  <c r="G1393" i="6"/>
  <c r="G1468" i="6"/>
  <c r="G1469" i="6"/>
  <c r="G1470" i="6"/>
  <c r="G1471" i="6"/>
  <c r="G1472" i="6"/>
  <c r="G1545" i="6"/>
  <c r="E1598" i="6"/>
  <c r="G1693" i="6"/>
  <c r="G1694" i="6"/>
  <c r="G1373" i="6"/>
  <c r="E1673" i="6"/>
  <c r="G1847" i="6"/>
  <c r="G2009" i="6"/>
  <c r="G2085" i="6"/>
  <c r="G2104" i="6"/>
  <c r="E1984" i="6"/>
  <c r="G365" i="6"/>
  <c r="G418" i="6"/>
  <c r="G515" i="6"/>
  <c r="E623" i="6"/>
  <c r="G746" i="6"/>
  <c r="E773" i="6"/>
  <c r="G795" i="6"/>
  <c r="G821" i="6"/>
  <c r="E848" i="6"/>
  <c r="G971" i="6"/>
  <c r="E998" i="6"/>
  <c r="G1346" i="6"/>
  <c r="E1373" i="6"/>
  <c r="G1397" i="6"/>
  <c r="G1624" i="6"/>
  <c r="E1748" i="6"/>
  <c r="G2026" i="6"/>
  <c r="G272" i="6"/>
  <c r="G371" i="6"/>
  <c r="E398" i="6"/>
  <c r="G424" i="6"/>
  <c r="G521" i="6"/>
  <c r="E548" i="6"/>
  <c r="G570" i="6"/>
  <c r="G571" i="6"/>
  <c r="G572" i="6"/>
  <c r="G799" i="6"/>
  <c r="G874" i="6"/>
  <c r="E923" i="6"/>
  <c r="G944" i="6"/>
  <c r="G945" i="6"/>
  <c r="E1073" i="6"/>
  <c r="G1093" i="6"/>
  <c r="G1098" i="6"/>
  <c r="G1099" i="6"/>
  <c r="G1168" i="6"/>
  <c r="G1196" i="6"/>
  <c r="G1271" i="6"/>
  <c r="G1318" i="6"/>
  <c r="G1320" i="6"/>
  <c r="G1321" i="6"/>
  <c r="G1421" i="6"/>
  <c r="E1448" i="6"/>
  <c r="G1474" i="6"/>
  <c r="E1523" i="6"/>
  <c r="G1546" i="6"/>
  <c r="G1547" i="6"/>
  <c r="G1618" i="6"/>
  <c r="G596" i="6"/>
  <c r="G671" i="6"/>
  <c r="G724" i="6"/>
  <c r="G793" i="6"/>
  <c r="G896" i="6"/>
  <c r="G948" i="6"/>
  <c r="G949" i="6"/>
  <c r="G1046" i="6"/>
  <c r="E1148" i="6"/>
  <c r="G1171" i="6"/>
  <c r="G1172" i="6"/>
  <c r="E1223" i="6"/>
  <c r="E1298" i="6"/>
  <c r="G1324" i="6"/>
  <c r="G1394" i="6"/>
  <c r="G1395" i="6"/>
  <c r="G1523" i="6"/>
  <c r="G1571" i="6"/>
  <c r="G1646" i="6"/>
  <c r="G1790" i="6"/>
  <c r="G2008" i="6"/>
  <c r="G446" i="6"/>
  <c r="E473" i="6"/>
  <c r="G497" i="6"/>
  <c r="G698" i="6"/>
  <c r="G923" i="6"/>
  <c r="G965" i="6"/>
  <c r="G1073" i="6"/>
  <c r="G1121" i="6"/>
  <c r="G1496" i="6"/>
  <c r="G2110" i="6"/>
  <c r="G1699" i="6"/>
  <c r="E1823" i="6"/>
  <c r="G2004" i="6"/>
  <c r="G2006" i="6"/>
  <c r="G2007" i="6"/>
  <c r="E2137" i="6"/>
  <c r="G2161" i="6"/>
  <c r="G2236" i="6"/>
  <c r="E2212" i="6"/>
  <c r="G2260" i="6"/>
  <c r="G1621" i="6"/>
  <c r="G1622" i="6"/>
  <c r="G1696" i="6"/>
  <c r="G1697" i="6"/>
  <c r="G1768" i="6"/>
  <c r="G1843" i="6"/>
  <c r="G1848" i="6"/>
  <c r="G1849" i="6"/>
  <c r="G2010" i="6"/>
  <c r="G2032" i="6"/>
  <c r="E2059" i="6"/>
  <c r="G2163" i="6"/>
  <c r="G2238" i="6"/>
  <c r="G2137" i="6"/>
  <c r="G2179" i="6"/>
  <c r="G2212" i="6"/>
  <c r="G2254" i="6"/>
  <c r="G1909" i="6"/>
  <c r="G1984" i="6"/>
  <c r="G1823" i="6"/>
  <c r="E1909" i="6"/>
  <c r="G1951" i="6"/>
  <c r="G2059"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83" i="6"/>
  <c r="G287" i="6"/>
  <c r="G248" i="6"/>
  <c r="E248" i="6"/>
  <c r="G210" i="6"/>
  <c r="G206" i="6"/>
  <c r="G214" i="6"/>
  <c r="G129" i="6"/>
  <c r="G137" i="6"/>
  <c r="G269" i="6"/>
  <c r="G270" i="6"/>
  <c r="G273" i="6"/>
  <c r="G274" i="6"/>
  <c r="G197" i="6"/>
  <c r="G198" i="6"/>
  <c r="G173" i="6"/>
  <c r="G98" i="6"/>
  <c r="G123" i="6"/>
  <c r="G124" i="6"/>
  <c r="G131" i="6"/>
  <c r="G139" i="6"/>
  <c r="E98" i="6"/>
  <c r="G135" i="6"/>
  <c r="G420" i="6" l="1"/>
  <c r="E868" i="6"/>
  <c r="G868" i="6" s="1"/>
  <c r="E348" i="6"/>
  <c r="G348" i="6" s="1"/>
  <c r="G345" i="6"/>
  <c r="E423" i="6"/>
  <c r="G423" i="6" s="1"/>
  <c r="G425" i="6" s="1"/>
  <c r="E870" i="6"/>
  <c r="G1025" i="6"/>
  <c r="G1550" i="6"/>
  <c r="G1700" i="6"/>
  <c r="G800" i="6"/>
  <c r="G650" i="6"/>
  <c r="G950" i="6"/>
  <c r="G1625" i="6"/>
  <c r="G1400" i="6"/>
  <c r="G1100" i="6"/>
  <c r="G1850" i="6"/>
  <c r="G1475" i="6"/>
  <c r="G1175" i="6"/>
  <c r="G500" i="6"/>
  <c r="G725" i="6"/>
  <c r="G1250" i="6"/>
  <c r="G1775" i="6"/>
  <c r="G575" i="6"/>
  <c r="G1936" i="6"/>
  <c r="G1325" i="6"/>
  <c r="G2086" i="6"/>
  <c r="G2011" i="6"/>
  <c r="G290" i="6"/>
  <c r="G140" i="6"/>
  <c r="G215" i="6"/>
  <c r="E871" i="6" l="1"/>
  <c r="G871" i="6" s="1"/>
  <c r="G350" i="6"/>
  <c r="E872" i="6"/>
  <c r="G872" i="6" s="1"/>
  <c r="G870" i="6"/>
  <c r="D69" i="6"/>
  <c r="F70" i="6"/>
  <c r="F69" i="6"/>
  <c r="F60" i="6"/>
  <c r="F61" i="6"/>
  <c r="F62" i="6"/>
  <c r="F63" i="6"/>
  <c r="F64" i="6"/>
  <c r="D60" i="6"/>
  <c r="D61" i="6"/>
  <c r="D62" i="6"/>
  <c r="D63" i="6"/>
  <c r="D64" i="6"/>
  <c r="E47" i="6"/>
  <c r="E49" i="6"/>
  <c r="E873" i="6" l="1"/>
  <c r="G873" i="6" s="1"/>
  <c r="G875" i="6" s="1"/>
  <c r="E50" i="6"/>
  <c r="E93" i="2"/>
  <c r="B93" i="2"/>
  <c r="E91" i="2"/>
  <c r="B91" i="2"/>
  <c r="E88" i="2"/>
  <c r="B88" i="2"/>
  <c r="F49" i="6"/>
  <c r="G49" i="6" s="1"/>
  <c r="F47" i="6"/>
  <c r="G47" i="6" s="1"/>
  <c r="F34" i="6"/>
  <c r="G34" i="6" s="1"/>
  <c r="F35" i="6"/>
  <c r="G35" i="6" s="1"/>
  <c r="F36" i="6"/>
  <c r="G36" i="6" s="1"/>
  <c r="F37" i="6"/>
  <c r="G37" i="6" s="1"/>
  <c r="F38" i="6"/>
  <c r="G38" i="6" s="1"/>
  <c r="E21" i="6"/>
  <c r="F21" i="6"/>
  <c r="D38" i="6" l="1"/>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30" i="6"/>
  <c r="G46" i="6" l="1"/>
  <c r="G45" i="6"/>
  <c r="G43" i="6"/>
  <c r="G44" i="6"/>
  <c r="A16" i="9"/>
  <c r="A31" i="9"/>
  <c r="A18" i="2"/>
  <c r="A38" i="9"/>
  <c r="A18" i="9"/>
  <c r="A15" i="9"/>
  <c r="A20" i="9"/>
  <c r="A29" i="2"/>
  <c r="A49" i="9"/>
  <c r="A28" i="2"/>
  <c r="A71" i="9"/>
  <c r="A70" i="9"/>
  <c r="A34" i="9"/>
  <c r="A50" i="9"/>
  <c r="A61" i="9"/>
  <c r="A39" i="9"/>
  <c r="A17" i="2"/>
  <c r="A40" i="2"/>
  <c r="A32" i="2"/>
  <c r="A76" i="9"/>
  <c r="A25" i="2"/>
  <c r="A34" i="2"/>
  <c r="A63" i="9"/>
  <c r="A44" i="2"/>
  <c r="A73" i="9"/>
  <c r="A31" i="2"/>
  <c r="A39" i="2"/>
  <c r="A38" i="2"/>
  <c r="A75" i="9"/>
  <c r="A21" i="2"/>
  <c r="A37" i="2"/>
  <c r="A59" i="9"/>
  <c r="A62" i="9"/>
  <c r="A27" i="2"/>
  <c r="A36" i="2"/>
  <c r="A47" i="9"/>
  <c r="A24" i="2"/>
  <c r="A29" i="9"/>
  <c r="A41" i="2"/>
  <c r="A35" i="2"/>
  <c r="A33" i="9"/>
  <c r="A13" i="9"/>
  <c r="A27" i="9"/>
  <c r="A14" i="9"/>
  <c r="A43" i="9"/>
  <c r="A48" i="2"/>
  <c r="A52" i="9"/>
  <c r="A57" i="9"/>
  <c r="A22" i="2"/>
  <c r="A48" i="9"/>
  <c r="A78" i="9"/>
  <c r="A66" i="9"/>
  <c r="A41" i="9"/>
  <c r="A35" i="9"/>
  <c r="A68" i="9"/>
  <c r="A74" i="9"/>
  <c r="A65" i="9"/>
  <c r="A42" i="2"/>
  <c r="A45" i="2"/>
  <c r="A24" i="9"/>
  <c r="A21" i="9"/>
  <c r="A67" i="9"/>
  <c r="A23" i="9"/>
  <c r="A69" i="9"/>
  <c r="A23" i="2"/>
  <c r="A30" i="9"/>
  <c r="A20" i="2"/>
  <c r="A26" i="2"/>
  <c r="A49" i="2"/>
  <c r="A60" i="9"/>
  <c r="A45" i="9"/>
  <c r="A46" i="2"/>
  <c r="A77" i="9"/>
  <c r="A17" i="9"/>
  <c r="A44" i="9"/>
  <c r="A32" i="9"/>
  <c r="A19" i="2"/>
  <c r="A28" i="9"/>
  <c r="A79" i="9"/>
  <c r="A30" i="2"/>
  <c r="A51" i="2"/>
  <c r="A33" i="2"/>
  <c r="A25" i="9"/>
  <c r="A40" i="9"/>
  <c r="A51" i="9"/>
  <c r="A64" i="9"/>
  <c r="A47" i="2"/>
  <c r="A36" i="9"/>
  <c r="A54" i="9"/>
  <c r="A42" i="9"/>
  <c r="A56" i="9"/>
  <c r="A58" i="9"/>
  <c r="A22" i="9"/>
  <c r="A43" i="2"/>
  <c r="A26" i="9"/>
  <c r="A53" i="9"/>
  <c r="A19" i="9"/>
  <c r="A37" i="9"/>
  <c r="A55" i="9"/>
  <c r="A72" i="9"/>
  <c r="A46" i="9"/>
  <c r="B80" i="9" l="1"/>
  <c r="E51" i="2"/>
  <c r="E38" i="2"/>
  <c r="E45" i="2"/>
  <c r="E33" i="2"/>
  <c r="E39" i="2"/>
  <c r="E46" i="2"/>
  <c r="E48" i="2"/>
  <c r="E32" i="2"/>
  <c r="E35" i="2"/>
  <c r="E43" i="2"/>
  <c r="E37" i="2"/>
  <c r="E49" i="2"/>
  <c r="E44" i="2"/>
  <c r="E42" i="2"/>
  <c r="E41" i="2"/>
  <c r="E47" i="2"/>
  <c r="E40" i="2"/>
  <c r="E36" i="2"/>
  <c r="E34" i="2"/>
  <c r="G70" i="6"/>
  <c r="G69" i="6"/>
  <c r="G64" i="6"/>
  <c r="G63" i="6"/>
  <c r="G62" i="6"/>
  <c r="G61" i="6"/>
  <c r="G60" i="6"/>
  <c r="G59" i="6"/>
  <c r="G56" i="6"/>
  <c r="E23" i="6"/>
  <c r="G21" i="6"/>
  <c r="G20" i="6"/>
  <c r="G19" i="6"/>
  <c r="G18" i="6"/>
  <c r="G17" i="6"/>
  <c r="G16" i="6"/>
  <c r="G15" i="6"/>
  <c r="G14" i="6"/>
  <c r="G13" i="6"/>
  <c r="G12" i="6"/>
  <c r="B5" i="6"/>
  <c r="G4" i="6"/>
  <c r="B4" i="6"/>
  <c r="B3" i="6"/>
  <c r="B2" i="6"/>
  <c r="G71" i="6" l="1"/>
  <c r="G57" i="6"/>
  <c r="G58" i="6"/>
  <c r="G23" i="6"/>
  <c r="E2219" i="6" l="1"/>
  <c r="G2219" i="6" s="1"/>
  <c r="E2144" i="6"/>
  <c r="G2144" i="6" s="1"/>
  <c r="G2153" i="6" s="1"/>
  <c r="G118" i="6"/>
  <c r="G125" i="6" s="1"/>
  <c r="G65" i="6"/>
  <c r="G50" i="6"/>
  <c r="G2228" i="6" l="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E33" i="20"/>
  <c r="N33" i="20" s="1"/>
  <c r="C33" i="20"/>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C27" i="14" s="1"/>
  <c r="E48" i="19"/>
  <c r="C26" i="14" s="1"/>
  <c r="E45" i="19"/>
  <c r="C25" i="14" s="1"/>
  <c r="E42" i="19"/>
  <c r="C24" i="14" s="1"/>
  <c r="C23" i="14"/>
  <c r="C22" i="14"/>
  <c r="D22" i="19"/>
  <c r="D19" i="19"/>
  <c r="D16" i="19"/>
  <c r="D13" i="19"/>
  <c r="D10" i="19"/>
  <c r="B5" i="19"/>
  <c r="E4" i="19"/>
  <c r="B4" i="19"/>
  <c r="B3" i="19"/>
  <c r="B2" i="19"/>
  <c r="A17" i="18"/>
  <c r="A116" i="18"/>
  <c r="A155" i="18"/>
  <c r="A71" i="18"/>
  <c r="A73" i="18"/>
  <c r="A130" i="18"/>
  <c r="A158" i="18"/>
  <c r="A63" i="18"/>
  <c r="A135" i="18"/>
  <c r="A109" i="18"/>
  <c r="A165" i="18"/>
  <c r="A163" i="18"/>
  <c r="A136" i="18"/>
  <c r="A99" i="18"/>
  <c r="A137" i="18"/>
  <c r="A45" i="18"/>
  <c r="A120" i="18"/>
  <c r="A16" i="18"/>
  <c r="A38" i="18"/>
  <c r="A112" i="18"/>
  <c r="A127" i="18"/>
  <c r="A35" i="18"/>
  <c r="A164" i="18"/>
  <c r="A27" i="18"/>
  <c r="A30" i="18"/>
  <c r="A91" i="18"/>
  <c r="A81" i="18"/>
  <c r="A92" i="18"/>
  <c r="A66" i="18"/>
  <c r="A145" i="18"/>
  <c r="A37" i="18"/>
  <c r="A24" i="18"/>
  <c r="A94" i="18"/>
  <c r="A102" i="18"/>
  <c r="A138" i="18"/>
  <c r="A74" i="18"/>
  <c r="A36" i="18"/>
  <c r="A144" i="18"/>
  <c r="J32" i="21" l="1"/>
  <c r="E2066" i="6"/>
  <c r="G2066" i="6" s="1"/>
  <c r="E1916" i="6"/>
  <c r="G1916" i="6" s="1"/>
  <c r="E1991" i="6"/>
  <c r="G1991" i="6" s="1"/>
  <c r="E1080" i="6"/>
  <c r="G2068" i="6"/>
  <c r="G1918" i="6"/>
  <c r="G1993" i="6"/>
  <c r="K36" i="20"/>
  <c r="G1994" i="6"/>
  <c r="G2069" i="6"/>
  <c r="G1919" i="6"/>
  <c r="I37" i="21"/>
  <c r="C17" i="14"/>
  <c r="G1992" i="6"/>
  <c r="G2067" i="6"/>
  <c r="G1917" i="6"/>
  <c r="G1081" i="6"/>
  <c r="G1831" i="6"/>
  <c r="G1456" i="6"/>
  <c r="G1756" i="6"/>
  <c r="G1531" i="6"/>
  <c r="G1306" i="6"/>
  <c r="G1681" i="6"/>
  <c r="G1606" i="6"/>
  <c r="G1381" i="6"/>
  <c r="E1156" i="6"/>
  <c r="G1156" i="6" s="1"/>
  <c r="G931" i="6"/>
  <c r="E481" i="6"/>
  <c r="G481" i="6" s="1"/>
  <c r="E256" i="6"/>
  <c r="G256" i="6" s="1"/>
  <c r="E181" i="6"/>
  <c r="G181" i="6" s="1"/>
  <c r="E331" i="6"/>
  <c r="G331" i="6" s="1"/>
  <c r="E781" i="6"/>
  <c r="G781" i="6" s="1"/>
  <c r="G556" i="6"/>
  <c r="E631" i="6"/>
  <c r="G631" i="6" s="1"/>
  <c r="E406" i="6"/>
  <c r="G406" i="6" s="1"/>
  <c r="E106" i="6"/>
  <c r="G106" i="6" s="1"/>
  <c r="E31" i="6"/>
  <c r="G31" i="6" s="1"/>
  <c r="C20" i="14"/>
  <c r="G1833" i="6"/>
  <c r="G1758" i="6"/>
  <c r="G1683" i="6"/>
  <c r="G1608" i="6"/>
  <c r="G1533" i="6"/>
  <c r="G1458" i="6"/>
  <c r="G1383" i="6"/>
  <c r="G1308" i="6"/>
  <c r="G933" i="6"/>
  <c r="G1158" i="6"/>
  <c r="E783" i="6"/>
  <c r="G783" i="6" s="1"/>
  <c r="E633" i="6"/>
  <c r="G633" i="6" s="1"/>
  <c r="G558" i="6"/>
  <c r="G483" i="6"/>
  <c r="E408" i="6"/>
  <c r="G408" i="6" s="1"/>
  <c r="E333" i="6"/>
  <c r="G333" i="6" s="1"/>
  <c r="E183" i="6"/>
  <c r="G183" i="6" s="1"/>
  <c r="E33" i="6"/>
  <c r="G33" i="6" s="1"/>
  <c r="C19" i="14"/>
  <c r="E632" i="6"/>
  <c r="G632" i="6" s="1"/>
  <c r="G1832" i="6"/>
  <c r="G1757" i="6"/>
  <c r="G1682" i="6"/>
  <c r="G1607" i="6"/>
  <c r="G1532" i="6"/>
  <c r="G1457" i="6"/>
  <c r="G1382" i="6"/>
  <c r="G1307" i="6"/>
  <c r="E1157" i="6"/>
  <c r="G1157" i="6" s="1"/>
  <c r="J1007" i="6"/>
  <c r="K1007" i="6" s="1"/>
  <c r="G932" i="6"/>
  <c r="G557" i="6"/>
  <c r="G482" i="6"/>
  <c r="E407" i="6"/>
  <c r="G407" i="6" s="1"/>
  <c r="E332" i="6"/>
  <c r="G332" i="6" s="1"/>
  <c r="E182" i="6"/>
  <c r="G182" i="6" s="1"/>
  <c r="E782" i="6"/>
  <c r="G782" i="6" s="1"/>
  <c r="E32" i="6"/>
  <c r="G32" i="6" s="1"/>
  <c r="E1830" i="6"/>
  <c r="G1830" i="6" s="1"/>
  <c r="E1455" i="6"/>
  <c r="G1455" i="6" s="1"/>
  <c r="G1380" i="6"/>
  <c r="E1755" i="6"/>
  <c r="G1755" i="6" s="1"/>
  <c r="E1680" i="6"/>
  <c r="G1680" i="6" s="1"/>
  <c r="E1605" i="6"/>
  <c r="G1605" i="6" s="1"/>
  <c r="E1530" i="6"/>
  <c r="G1530" i="6" s="1"/>
  <c r="E1305" i="6"/>
  <c r="G1305" i="6" s="1"/>
  <c r="E930" i="6"/>
  <c r="G930" i="6" s="1"/>
  <c r="E855" i="6"/>
  <c r="G855" i="6" s="1"/>
  <c r="G1080" i="6"/>
  <c r="E1230" i="6"/>
  <c r="G1230" i="6" s="1"/>
  <c r="E1155" i="6"/>
  <c r="G1155" i="6" s="1"/>
  <c r="E780" i="6"/>
  <c r="G780" i="6" s="1"/>
  <c r="E705" i="6"/>
  <c r="G705" i="6" s="1"/>
  <c r="E630" i="6"/>
  <c r="G630" i="6" s="1"/>
  <c r="E555" i="6"/>
  <c r="G555" i="6" s="1"/>
  <c r="E480" i="6"/>
  <c r="G480" i="6" s="1"/>
  <c r="E405" i="6"/>
  <c r="G405" i="6" s="1"/>
  <c r="E330" i="6"/>
  <c r="G330" i="6" s="1"/>
  <c r="E255" i="6"/>
  <c r="E180" i="6"/>
  <c r="G180" i="6" s="1"/>
  <c r="K41" i="21"/>
  <c r="M44" i="21"/>
  <c r="K44" i="20"/>
  <c r="I45" i="21"/>
  <c r="I60" i="21"/>
  <c r="I39" i="21"/>
  <c r="I63" i="21"/>
  <c r="I64" i="21"/>
  <c r="G193" i="6"/>
  <c r="G200"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60" i="18"/>
  <c r="A32" i="18"/>
  <c r="A40" i="18"/>
  <c r="A21" i="18"/>
  <c r="A77" i="18"/>
  <c r="A53" i="18"/>
  <c r="A139" i="18"/>
  <c r="A93" i="18"/>
  <c r="A29" i="18"/>
  <c r="A84" i="18"/>
  <c r="A159" i="18"/>
  <c r="A148" i="18"/>
  <c r="A143" i="18"/>
  <c r="A131" i="18"/>
  <c r="A113" i="18"/>
  <c r="A54" i="18"/>
  <c r="A46" i="18"/>
  <c r="A122" i="18"/>
  <c r="A87" i="18"/>
  <c r="A50" i="18"/>
  <c r="A42" i="18"/>
  <c r="A67" i="18"/>
  <c r="A26" i="18"/>
  <c r="A64" i="18"/>
  <c r="A154" i="18"/>
  <c r="A48" i="18"/>
  <c r="A85" i="18"/>
  <c r="A79" i="18"/>
  <c r="A43" i="18"/>
  <c r="A115" i="18"/>
  <c r="A147" i="18"/>
  <c r="A62" i="18"/>
  <c r="A33" i="18"/>
  <c r="A106" i="18"/>
  <c r="A44" i="18"/>
  <c r="A149" i="18"/>
  <c r="A86" i="18"/>
  <c r="A98" i="18"/>
  <c r="A134" i="18"/>
  <c r="A19" i="18"/>
  <c r="A61" i="18"/>
  <c r="A133" i="18"/>
  <c r="A51" i="18"/>
  <c r="A89" i="18"/>
  <c r="A152" i="18"/>
  <c r="A90" i="18"/>
  <c r="A123" i="18"/>
  <c r="A59" i="18"/>
  <c r="A20" i="18"/>
  <c r="A95" i="18"/>
  <c r="A142" i="18"/>
  <c r="A56" i="18"/>
  <c r="A103" i="18"/>
  <c r="A70" i="18"/>
  <c r="A105" i="18"/>
  <c r="A78" i="18"/>
  <c r="A28" i="18"/>
  <c r="A119" i="18"/>
  <c r="A107" i="18"/>
  <c r="A118" i="18"/>
  <c r="A114" i="18"/>
  <c r="A153" i="18"/>
  <c r="A101" i="18"/>
  <c r="A124" i="18"/>
  <c r="A156" i="18"/>
  <c r="A128" i="18"/>
  <c r="A72" i="18"/>
  <c r="A55" i="18"/>
  <c r="A75" i="18"/>
  <c r="A126" i="18"/>
  <c r="A83" i="18"/>
  <c r="A157" i="18"/>
  <c r="A65" i="18"/>
  <c r="A18" i="18"/>
  <c r="A57" i="18"/>
  <c r="A162" i="18"/>
  <c r="A146" i="18"/>
  <c r="A49" i="18"/>
  <c r="A69" i="18"/>
  <c r="A58" i="18"/>
  <c r="A82" i="18"/>
  <c r="A160" i="18"/>
  <c r="A110" i="18"/>
  <c r="A41" i="18"/>
  <c r="A52" i="18"/>
  <c r="A141" i="18"/>
  <c r="A129" i="18"/>
  <c r="A47" i="18"/>
  <c r="A150" i="18"/>
  <c r="A100" i="18"/>
  <c r="A117" i="18"/>
  <c r="A104" i="18"/>
  <c r="A76" i="18"/>
  <c r="A25" i="18"/>
  <c r="A31" i="18"/>
  <c r="A68" i="18"/>
  <c r="A23" i="18"/>
  <c r="A125" i="18"/>
  <c r="A22" i="18"/>
  <c r="A97" i="18"/>
  <c r="A121" i="18"/>
  <c r="A88" i="18"/>
  <c r="A80" i="18"/>
  <c r="A111" i="18"/>
  <c r="A151" i="18"/>
  <c r="A39" i="18"/>
  <c r="A108" i="18"/>
  <c r="A34" i="18"/>
  <c r="A96" i="18"/>
  <c r="A140" i="18"/>
  <c r="A132" i="18"/>
  <c r="A161" i="18"/>
  <c r="G1689" i="6" l="1"/>
  <c r="G1723" i="6" s="1"/>
  <c r="G1724" i="6" s="1"/>
  <c r="G1839" i="6"/>
  <c r="G1884" i="6" s="1"/>
  <c r="G1885" i="6" s="1"/>
  <c r="G1164" i="6"/>
  <c r="G1198" i="6" s="1"/>
  <c r="G1199" i="6" s="1"/>
  <c r="G939" i="6"/>
  <c r="G973" i="6" s="1"/>
  <c r="G974" i="6" s="1"/>
  <c r="G564" i="6"/>
  <c r="G598" i="6" s="1"/>
  <c r="G599" i="6" s="1"/>
  <c r="G489" i="6"/>
  <c r="G523" i="6" s="1"/>
  <c r="G524" i="6" s="1"/>
  <c r="G339" i="6"/>
  <c r="G373" i="6" s="1"/>
  <c r="G374" i="6" s="1"/>
  <c r="G639" i="6"/>
  <c r="G673" i="6" s="1"/>
  <c r="G674" i="6" s="1"/>
  <c r="G1314" i="6"/>
  <c r="G1348" i="6" s="1"/>
  <c r="G1349" i="6" s="1"/>
  <c r="G414" i="6"/>
  <c r="G448" i="6" s="1"/>
  <c r="G449" i="6" s="1"/>
  <c r="G1539" i="6"/>
  <c r="G1573" i="6" s="1"/>
  <c r="G1574" i="6" s="1"/>
  <c r="G1389" i="6"/>
  <c r="G1423" i="6" s="1"/>
  <c r="G1424" i="6" s="1"/>
  <c r="G789" i="6"/>
  <c r="G823" i="6" s="1"/>
  <c r="G824" i="6" s="1"/>
  <c r="G864" i="6"/>
  <c r="G898" i="6" s="1"/>
  <c r="G899" i="6" s="1"/>
  <c r="G1614" i="6"/>
  <c r="G1648" i="6" s="1"/>
  <c r="G1649" i="6" s="1"/>
  <c r="G1006" i="6"/>
  <c r="I1006" i="6"/>
  <c r="E1005" i="6"/>
  <c r="G1005" i="6" s="1"/>
  <c r="I1005" i="6"/>
  <c r="G2000" i="6"/>
  <c r="G2034" i="6" s="1"/>
  <c r="G2035" i="6" s="1"/>
  <c r="G1925" i="6"/>
  <c r="G1959" i="6" s="1"/>
  <c r="G1960" i="6" s="1"/>
  <c r="G2075" i="6"/>
  <c r="G2112" i="6" s="1"/>
  <c r="G2113" i="6" s="1"/>
  <c r="E30" i="6"/>
  <c r="G30" i="6" s="1"/>
  <c r="E105" i="6"/>
  <c r="G105" i="6" s="1"/>
  <c r="G1082" i="6"/>
  <c r="E108" i="6"/>
  <c r="G108" i="6" s="1"/>
  <c r="G1083" i="6"/>
  <c r="E107" i="6"/>
  <c r="G107" i="6" s="1"/>
  <c r="E257" i="6"/>
  <c r="G257" i="6" s="1"/>
  <c r="G1007" i="6"/>
  <c r="E258" i="6"/>
  <c r="G258" i="6" s="1"/>
  <c r="G1008" i="6"/>
  <c r="G1764" i="6"/>
  <c r="G1798" i="6" s="1"/>
  <c r="G1799" i="6" s="1"/>
  <c r="G1464" i="6"/>
  <c r="G1498" i="6" s="1"/>
  <c r="G1499" i="6" s="1"/>
  <c r="G1239" i="6"/>
  <c r="G1273" i="6" s="1"/>
  <c r="G1274" i="6" s="1"/>
  <c r="G714" i="6"/>
  <c r="G748" i="6" s="1"/>
  <c r="G749" i="6" s="1"/>
  <c r="G189"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23" i="6" l="1"/>
  <c r="G224" i="6" s="1"/>
  <c r="G1014" i="6"/>
  <c r="G1048" i="6" s="1"/>
  <c r="G1049" i="6" s="1"/>
  <c r="G114" i="6"/>
  <c r="G1089" i="6"/>
  <c r="G1123" i="6" s="1"/>
  <c r="G1124" i="6" s="1"/>
  <c r="G268" i="6"/>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G148" i="6" l="1"/>
  <c r="G149" i="6" s="1"/>
  <c r="D185" i="15"/>
  <c r="C184" i="15"/>
  <c r="D182" i="15"/>
  <c r="C181" i="15"/>
  <c r="D179" i="15"/>
  <c r="C178" i="15"/>
  <c r="D176" i="15"/>
  <c r="C175" i="15"/>
  <c r="D173" i="15"/>
  <c r="C172" i="15"/>
  <c r="D170" i="15"/>
  <c r="C169" i="15"/>
  <c r="D167" i="15"/>
  <c r="C166" i="15"/>
  <c r="D164" i="15"/>
  <c r="C163" i="15"/>
  <c r="D161" i="15"/>
  <c r="C160" i="15"/>
  <c r="D158" i="15"/>
  <c r="C157" i="15"/>
  <c r="D155" i="15"/>
  <c r="C154" i="15"/>
  <c r="D152" i="15"/>
  <c r="C151" i="15"/>
  <c r="D149" i="15"/>
  <c r="C148" i="15"/>
  <c r="D146" i="15"/>
  <c r="C145" i="15"/>
  <c r="D143" i="15"/>
  <c r="C142" i="15"/>
  <c r="D140" i="15"/>
  <c r="C139" i="15"/>
  <c r="D137" i="15"/>
  <c r="C136" i="15"/>
  <c r="D134" i="15"/>
  <c r="C133" i="15"/>
  <c r="D131" i="15"/>
  <c r="C130" i="15"/>
  <c r="D128" i="15"/>
  <c r="C127" i="15"/>
  <c r="D125" i="15"/>
  <c r="C124" i="15"/>
  <c r="D122" i="15"/>
  <c r="C121" i="15"/>
  <c r="D119" i="15"/>
  <c r="C118" i="15"/>
  <c r="D116" i="15"/>
  <c r="C115" i="15"/>
  <c r="D113" i="15"/>
  <c r="C112" i="15"/>
  <c r="D110" i="15"/>
  <c r="C109" i="15"/>
  <c r="D107" i="15"/>
  <c r="C106" i="15"/>
  <c r="D104" i="15"/>
  <c r="C103" i="15"/>
  <c r="D101" i="15"/>
  <c r="D82" i="2" s="1"/>
  <c r="C100" i="15"/>
  <c r="B81" i="2" s="1"/>
  <c r="D98" i="15"/>
  <c r="D79" i="2" s="1"/>
  <c r="C97" i="15"/>
  <c r="B78" i="2" s="1"/>
  <c r="D95" i="15"/>
  <c r="D76" i="2" s="1"/>
  <c r="C94" i="15"/>
  <c r="B75" i="2" s="1"/>
  <c r="D92" i="15"/>
  <c r="D73" i="2" s="1"/>
  <c r="C91" i="15"/>
  <c r="B72" i="2" s="1"/>
  <c r="D89" i="15"/>
  <c r="D70" i="2" s="1"/>
  <c r="C88" i="15"/>
  <c r="B69" i="2" s="1"/>
  <c r="D86" i="15"/>
  <c r="D67" i="2" s="1"/>
  <c r="C85" i="15"/>
  <c r="B66" i="2" s="1"/>
  <c r="D83" i="15"/>
  <c r="D64" i="2" s="1"/>
  <c r="C82" i="15"/>
  <c r="B63" i="2" s="1"/>
  <c r="D80" i="15"/>
  <c r="D61" i="2" s="1"/>
  <c r="C79" i="15"/>
  <c r="B60" i="2" s="1"/>
  <c r="D77" i="15"/>
  <c r="D58" i="2" s="1"/>
  <c r="C76" i="15"/>
  <c r="B57" i="2" s="1"/>
  <c r="D74" i="15"/>
  <c r="D55" i="2" s="1"/>
  <c r="C73" i="15"/>
  <c r="B54" i="2" s="1"/>
  <c r="D71" i="15"/>
  <c r="D52" i="2" s="1"/>
  <c r="C70" i="15"/>
  <c r="B51" i="2" s="1"/>
  <c r="D68" i="15"/>
  <c r="D49" i="2" s="1"/>
  <c r="C67" i="15"/>
  <c r="D65" i="15"/>
  <c r="D46" i="2" s="1"/>
  <c r="C64" i="15"/>
  <c r="B45" i="2" s="1"/>
  <c r="D62" i="15"/>
  <c r="C61" i="15"/>
  <c r="B42" i="2" s="1"/>
  <c r="D59" i="15"/>
  <c r="D40" i="2" s="1"/>
  <c r="C58" i="15"/>
  <c r="D56" i="15"/>
  <c r="D37" i="2" s="1"/>
  <c r="C55" i="15"/>
  <c r="B36" i="2" s="1"/>
  <c r="D34" i="2"/>
  <c r="C52" i="15"/>
  <c r="B33" i="2" s="1"/>
  <c r="C49" i="15"/>
  <c r="D47" i="15"/>
  <c r="C46" i="15"/>
  <c r="D44" i="15"/>
  <c r="C43" i="15"/>
  <c r="D41" i="15"/>
  <c r="D38" i="15"/>
  <c r="C37" i="15"/>
  <c r="D36" i="15"/>
  <c r="C185" i="15"/>
  <c r="D183" i="15"/>
  <c r="C182" i="15"/>
  <c r="D180" i="15"/>
  <c r="C179" i="15"/>
  <c r="D177" i="15"/>
  <c r="C176" i="15"/>
  <c r="D174" i="15"/>
  <c r="C173" i="15"/>
  <c r="D171" i="15"/>
  <c r="C170" i="15"/>
  <c r="D168" i="15"/>
  <c r="C167" i="15"/>
  <c r="D165" i="15"/>
  <c r="C164" i="15"/>
  <c r="D162" i="15"/>
  <c r="C161" i="15"/>
  <c r="D159" i="15"/>
  <c r="C158" i="15"/>
  <c r="D156" i="15"/>
  <c r="C155" i="15"/>
  <c r="D153" i="15"/>
  <c r="C152" i="15"/>
  <c r="D150" i="15"/>
  <c r="C149" i="15"/>
  <c r="D147" i="15"/>
  <c r="C146" i="15"/>
  <c r="D144" i="15"/>
  <c r="C143" i="15"/>
  <c r="D141" i="15"/>
  <c r="C140" i="15"/>
  <c r="D138" i="15"/>
  <c r="C137" i="15"/>
  <c r="D135" i="15"/>
  <c r="C134" i="15"/>
  <c r="D132" i="15"/>
  <c r="C131" i="15"/>
  <c r="D129" i="15"/>
  <c r="C128" i="15"/>
  <c r="D126" i="15"/>
  <c r="C125" i="15"/>
  <c r="D123" i="15"/>
  <c r="C122" i="15"/>
  <c r="D120" i="15"/>
  <c r="C119" i="15"/>
  <c r="D117" i="15"/>
  <c r="C116" i="15"/>
  <c r="D114" i="15"/>
  <c r="C113" i="15"/>
  <c r="D111" i="15"/>
  <c r="C110" i="15"/>
  <c r="D108" i="15"/>
  <c r="C107" i="15"/>
  <c r="D105" i="15"/>
  <c r="C104" i="15"/>
  <c r="D102" i="15"/>
  <c r="D83" i="2" s="1"/>
  <c r="C101" i="15"/>
  <c r="B82" i="2" s="1"/>
  <c r="D99" i="15"/>
  <c r="D80" i="2" s="1"/>
  <c r="C98" i="15"/>
  <c r="B79" i="2" s="1"/>
  <c r="D96" i="15"/>
  <c r="D77" i="2" s="1"/>
  <c r="C95" i="15"/>
  <c r="B76" i="2" s="1"/>
  <c r="D93" i="15"/>
  <c r="D74" i="2" s="1"/>
  <c r="C92" i="15"/>
  <c r="B73" i="2" s="1"/>
  <c r="D90" i="15"/>
  <c r="D71" i="2" s="1"/>
  <c r="C89" i="15"/>
  <c r="B70" i="2" s="1"/>
  <c r="D87" i="15"/>
  <c r="D68" i="2" s="1"/>
  <c r="C86" i="15"/>
  <c r="B67" i="2" s="1"/>
  <c r="D84" i="15"/>
  <c r="D65" i="2" s="1"/>
  <c r="C83" i="15"/>
  <c r="B64" i="2" s="1"/>
  <c r="D81" i="15"/>
  <c r="D62" i="2" s="1"/>
  <c r="C80" i="15"/>
  <c r="B61" i="2" s="1"/>
  <c r="D78" i="15"/>
  <c r="D59" i="2" s="1"/>
  <c r="C77" i="15"/>
  <c r="B58" i="2" s="1"/>
  <c r="D75" i="15"/>
  <c r="D56" i="2" s="1"/>
  <c r="C74" i="15"/>
  <c r="B55" i="2" s="1"/>
  <c r="D72" i="15"/>
  <c r="D53" i="2" s="1"/>
  <c r="C71" i="15"/>
  <c r="B52" i="2" s="1"/>
  <c r="D69" i="15"/>
  <c r="D50" i="2" s="1"/>
  <c r="C68" i="15"/>
  <c r="B49" i="2" s="1"/>
  <c r="D66" i="15"/>
  <c r="D47" i="2" s="1"/>
  <c r="C65" i="15"/>
  <c r="B46" i="2" s="1"/>
  <c r="D63" i="15"/>
  <c r="D44" i="2" s="1"/>
  <c r="C62" i="15"/>
  <c r="B43" i="2" s="1"/>
  <c r="D60" i="15"/>
  <c r="D41" i="2" s="1"/>
  <c r="C59" i="15"/>
  <c r="B40" i="2" s="1"/>
  <c r="D57" i="15"/>
  <c r="D38" i="2" s="1"/>
  <c r="C56" i="15"/>
  <c r="B37" i="2" s="1"/>
  <c r="D54" i="15"/>
  <c r="D35" i="2" s="1"/>
  <c r="C53" i="15"/>
  <c r="B34" i="2" s="1"/>
  <c r="D32" i="2"/>
  <c r="C50" i="15"/>
  <c r="D48" i="15"/>
  <c r="C47" i="15"/>
  <c r="D45" i="15"/>
  <c r="C44" i="15"/>
  <c r="D42" i="15"/>
  <c r="C41" i="15"/>
  <c r="D39" i="15"/>
  <c r="C38" i="15"/>
  <c r="D184" i="15"/>
  <c r="C183" i="15"/>
  <c r="D181" i="15"/>
  <c r="C180" i="15"/>
  <c r="D178" i="15"/>
  <c r="C177" i="15"/>
  <c r="D175" i="15"/>
  <c r="C174" i="15"/>
  <c r="D172" i="15"/>
  <c r="C171" i="15"/>
  <c r="D169" i="15"/>
  <c r="C168" i="15"/>
  <c r="D166" i="15"/>
  <c r="C165" i="15"/>
  <c r="D163" i="15"/>
  <c r="C162" i="15"/>
  <c r="D160" i="15"/>
  <c r="C159" i="15"/>
  <c r="D157" i="15"/>
  <c r="C156" i="15"/>
  <c r="D154" i="15"/>
  <c r="C153" i="15"/>
  <c r="D151" i="15"/>
  <c r="C150" i="15"/>
  <c r="D148" i="15"/>
  <c r="C147" i="15"/>
  <c r="D145" i="15"/>
  <c r="C144" i="15"/>
  <c r="D142" i="15"/>
  <c r="C141" i="15"/>
  <c r="D139" i="15"/>
  <c r="C138" i="15"/>
  <c r="D136" i="15"/>
  <c r="C135" i="15"/>
  <c r="D133" i="15"/>
  <c r="C132" i="15"/>
  <c r="D130" i="15"/>
  <c r="C129" i="15"/>
  <c r="D127" i="15"/>
  <c r="C126" i="15"/>
  <c r="D124" i="15"/>
  <c r="C123" i="15"/>
  <c r="D121" i="15"/>
  <c r="C120" i="15"/>
  <c r="D118" i="15"/>
  <c r="C117" i="15"/>
  <c r="D115" i="15"/>
  <c r="C114" i="15"/>
  <c r="D112" i="15"/>
  <c r="C111" i="15"/>
  <c r="D109" i="15"/>
  <c r="C108" i="15"/>
  <c r="D106" i="15"/>
  <c r="C105" i="15"/>
  <c r="D103" i="15"/>
  <c r="C102" i="15"/>
  <c r="B83" i="2" s="1"/>
  <c r="B82" i="18" s="1"/>
  <c r="D100" i="15"/>
  <c r="D81" i="2" s="1"/>
  <c r="C99" i="15"/>
  <c r="B80" i="2" s="1"/>
  <c r="D97" i="15"/>
  <c r="D78" i="2" s="1"/>
  <c r="C96" i="15"/>
  <c r="B77" i="2" s="1"/>
  <c r="D94" i="15"/>
  <c r="D75" i="2" s="1"/>
  <c r="C93" i="15"/>
  <c r="B74" i="2" s="1"/>
  <c r="D91" i="15"/>
  <c r="D72" i="2" s="1"/>
  <c r="C90" i="15"/>
  <c r="B71" i="2" s="1"/>
  <c r="D88" i="15"/>
  <c r="D69" i="2" s="1"/>
  <c r="C87" i="15"/>
  <c r="B68" i="2" s="1"/>
  <c r="D85" i="15"/>
  <c r="D66" i="2" s="1"/>
  <c r="C84" i="15"/>
  <c r="B65" i="2" s="1"/>
  <c r="D82" i="15"/>
  <c r="D63" i="2" s="1"/>
  <c r="C81" i="15"/>
  <c r="B62" i="2" s="1"/>
  <c r="D79" i="15"/>
  <c r="D60" i="2" s="1"/>
  <c r="C78" i="15"/>
  <c r="B59" i="2" s="1"/>
  <c r="D76" i="15"/>
  <c r="D57" i="2" s="1"/>
  <c r="C75" i="15"/>
  <c r="B56" i="2" s="1"/>
  <c r="D73" i="15"/>
  <c r="D54" i="2" s="1"/>
  <c r="C72" i="15"/>
  <c r="B53" i="2" s="1"/>
  <c r="D70" i="15"/>
  <c r="D51" i="2" s="1"/>
  <c r="C69" i="15"/>
  <c r="B50" i="2" s="1"/>
  <c r="D67" i="15"/>
  <c r="C66" i="15"/>
  <c r="B47" i="2" s="1"/>
  <c r="D64" i="15"/>
  <c r="D45" i="2" s="1"/>
  <c r="C63" i="15"/>
  <c r="B44" i="2" s="1"/>
  <c r="D61" i="15"/>
  <c r="D42" i="2" s="1"/>
  <c r="C60" i="15"/>
  <c r="B41" i="2" s="1"/>
  <c r="D58" i="15"/>
  <c r="C57" i="15"/>
  <c r="B38" i="2" s="1"/>
  <c r="D55" i="15"/>
  <c r="D36" i="2" s="1"/>
  <c r="C54" i="15"/>
  <c r="B35" i="2" s="1"/>
  <c r="D52" i="15"/>
  <c r="D33" i="2" s="1"/>
  <c r="C51" i="15"/>
  <c r="B32" i="2" s="1"/>
  <c r="D49" i="15"/>
  <c r="C48" i="15"/>
  <c r="D46" i="15"/>
  <c r="C45" i="15"/>
  <c r="D43" i="15"/>
  <c r="C42" i="15"/>
  <c r="D40" i="15"/>
  <c r="D37" i="15"/>
  <c r="C3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39" i="2" l="1"/>
  <c r="B48" i="2"/>
  <c r="D39" i="2"/>
  <c r="D48" i="2"/>
  <c r="D43" i="2"/>
  <c r="A38" i="15"/>
  <c r="C36" i="8"/>
  <c r="C11" i="8"/>
  <c r="A39" i="15" l="1"/>
  <c r="A40" i="15" s="1"/>
  <c r="A41" i="15" s="1"/>
  <c r="A42" i="15" s="1"/>
  <c r="A43" i="15" s="1"/>
  <c r="A44" i="15" s="1"/>
  <c r="A45" i="15" s="1"/>
  <c r="C75" i="8"/>
  <c r="A46" i="15"/>
  <c r="C1" i="5"/>
  <c r="C1" i="4"/>
  <c r="A47" i="15" l="1"/>
  <c r="C10" i="2"/>
  <c r="C9" i="2"/>
  <c r="C8" i="2"/>
  <c r="C7" i="2"/>
  <c r="C6" i="2"/>
  <c r="C5" i="2"/>
  <c r="C4" i="2"/>
  <c r="C3" i="2"/>
  <c r="C2" i="2"/>
  <c r="C1" i="2"/>
  <c r="A48" i="15" l="1"/>
  <c r="B1" i="8"/>
  <c r="A49"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B2232" i="6" l="1"/>
  <c r="B2233" i="6"/>
  <c r="B2235" i="6"/>
  <c r="B1994" i="6"/>
  <c r="B933" i="6"/>
  <c r="B708" i="6"/>
  <c r="B633" i="6"/>
  <c r="B408" i="6"/>
  <c r="B1233" i="6"/>
  <c r="B783" i="6"/>
  <c r="B483" i="6"/>
  <c r="B333" i="6"/>
  <c r="B858" i="6"/>
  <c r="B558" i="6"/>
  <c r="B108" i="6"/>
  <c r="B33" i="6"/>
  <c r="B1993" i="6"/>
  <c r="B1232" i="6"/>
  <c r="B482" i="6"/>
  <c r="B332" i="6"/>
  <c r="B857" i="6"/>
  <c r="B557" i="6"/>
  <c r="B107" i="6"/>
  <c r="B932" i="6"/>
  <c r="B707" i="6"/>
  <c r="B632" i="6"/>
  <c r="B407" i="6"/>
  <c r="B32" i="6"/>
  <c r="A50" i="15"/>
  <c r="B64" i="6"/>
  <c r="B62" i="6"/>
  <c r="B60" i="6"/>
  <c r="B58" i="6"/>
  <c r="B56" i="6"/>
  <c r="B54" i="6"/>
  <c r="B59" i="6"/>
  <c r="B55" i="6"/>
  <c r="B63" i="6"/>
  <c r="B61" i="6"/>
  <c r="B57" i="6"/>
  <c r="G11" i="9"/>
  <c r="H11" i="9" s="1"/>
  <c r="I11" i="9" s="1"/>
  <c r="J11" i="9" s="1"/>
  <c r="K11" i="9" s="1"/>
  <c r="L11" i="9" s="1"/>
  <c r="M11" i="9" s="1"/>
  <c r="N11" i="9" s="1"/>
  <c r="O11" i="9" s="1"/>
  <c r="P11" i="9" s="1"/>
  <c r="Q11" i="9" s="1"/>
  <c r="R11" i="9" s="1"/>
  <c r="S11" i="9" s="1"/>
  <c r="T11" i="9" s="1"/>
  <c r="U11" i="9" s="1"/>
  <c r="V11" i="9" s="1"/>
  <c r="W11" i="9" s="1"/>
  <c r="A51" i="15" l="1"/>
  <c r="A52"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3"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4" i="15" l="1"/>
  <c r="E75" i="8"/>
  <c r="A55" i="15" l="1"/>
  <c r="D36" i="8"/>
  <c r="A56" i="15" l="1"/>
  <c r="B5" i="8"/>
  <c r="B4" i="8"/>
  <c r="B3" i="8"/>
  <c r="B2" i="8"/>
  <c r="A57" i="15" l="1"/>
  <c r="C6" i="9"/>
  <c r="C4" i="9"/>
  <c r="C3" i="9"/>
  <c r="C2" i="9"/>
  <c r="C1" i="9"/>
  <c r="C5" i="9"/>
  <c r="A58" i="15" l="1"/>
  <c r="Y79" i="9"/>
  <c r="Y78" i="9"/>
  <c r="Y77" i="9"/>
  <c r="Y76" i="9"/>
  <c r="Y75" i="9"/>
  <c r="Y74" i="9"/>
  <c r="Y73" i="9"/>
  <c r="Y72" i="9"/>
  <c r="Y71" i="9"/>
  <c r="Y70" i="9"/>
  <c r="Y69" i="9"/>
  <c r="Y68" i="9"/>
  <c r="Y67" i="9"/>
  <c r="Y66" i="9"/>
  <c r="Y65" i="9"/>
  <c r="Y64" i="9"/>
  <c r="Y63" i="9"/>
  <c r="Y62" i="9"/>
  <c r="Y61" i="9"/>
  <c r="Y60" i="9"/>
  <c r="Y59" i="9"/>
  <c r="Y58" i="9"/>
  <c r="Y57" i="9"/>
  <c r="Y56" i="9"/>
  <c r="Y55" i="9"/>
  <c r="A59" i="15" l="1"/>
  <c r="A60" i="15" l="1"/>
  <c r="A61" i="15" l="1"/>
  <c r="A62" i="15" l="1"/>
  <c r="A63" i="15" l="1"/>
  <c r="A64" i="15" l="1"/>
  <c r="A65" i="15" l="1"/>
  <c r="A66" i="15" l="1"/>
  <c r="A67" i="15" l="1"/>
  <c r="A68" i="15" l="1"/>
  <c r="A69" i="15" l="1"/>
  <c r="A70" i="15" l="1"/>
  <c r="C815" i="15"/>
  <c r="A71" i="15" l="1"/>
  <c r="C865" i="15"/>
  <c r="A72" i="15" l="1"/>
  <c r="C915" i="15"/>
  <c r="A73" i="15" l="1"/>
  <c r="C965" i="15"/>
  <c r="A74" i="15" l="1"/>
  <c r="C1015" i="15"/>
  <c r="A75" i="15" l="1"/>
  <c r="A76" i="15" l="1"/>
  <c r="C1065" i="15"/>
  <c r="A77" i="15" l="1"/>
  <c r="C1115" i="15"/>
  <c r="A78" i="15" l="1"/>
  <c r="A79" i="15" l="1"/>
  <c r="C1165" i="15"/>
  <c r="A80" i="15" l="1"/>
  <c r="C1215" i="15"/>
  <c r="A81" i="15" l="1"/>
  <c r="C1265" i="15"/>
  <c r="A82" i="15" l="1"/>
  <c r="C1315" i="15"/>
  <c r="A83" i="15" l="1"/>
  <c r="C1365" i="15"/>
  <c r="A84" i="15" l="1"/>
  <c r="C1415" i="15"/>
  <c r="A85" i="15" l="1"/>
  <c r="C1465" i="15"/>
  <c r="A86" i="15" l="1"/>
  <c r="C1515" i="15"/>
  <c r="A87" i="15" l="1"/>
  <c r="A88" i="15" l="1"/>
  <c r="C1565" i="15"/>
  <c r="A89" i="15" l="1"/>
  <c r="C1615" i="15"/>
  <c r="A90" i="15" l="1"/>
  <c r="C1665" i="15"/>
  <c r="A91" i="15" l="1"/>
  <c r="C1715" i="15"/>
  <c r="A92" i="15" l="1"/>
  <c r="C1765" i="15"/>
  <c r="A93" i="15" l="1"/>
  <c r="A94" i="15" l="1"/>
  <c r="C1815" i="15"/>
  <c r="A95" i="15" l="1"/>
  <c r="C1865" i="15"/>
  <c r="F7" i="2"/>
  <c r="D21" i="2" l="1"/>
  <c r="B21" i="2"/>
  <c r="E21" i="2"/>
  <c r="E20" i="2"/>
  <c r="B20" i="2"/>
  <c r="D20" i="2"/>
  <c r="E19" i="2"/>
  <c r="B19" i="2"/>
  <c r="D19" i="2"/>
  <c r="E18" i="2"/>
  <c r="D18" i="2"/>
  <c r="B18" i="2"/>
  <c r="B17" i="2"/>
  <c r="D17" i="2"/>
  <c r="E17" i="2"/>
  <c r="F10" i="2"/>
  <c r="A96" i="15"/>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19" i="18" l="1"/>
  <c r="D18" i="18"/>
  <c r="D20" i="18"/>
  <c r="A97" i="15"/>
  <c r="D37" i="18"/>
  <c r="D39" i="18"/>
  <c r="D41" i="18"/>
  <c r="D40" i="18"/>
  <c r="D42" i="18"/>
  <c r="D44" i="18"/>
  <c r="D43" i="18"/>
  <c r="D45" i="18"/>
  <c r="D46" i="18"/>
  <c r="C37" i="18"/>
  <c r="C39" i="18"/>
  <c r="C41" i="18"/>
  <c r="C40" i="18"/>
  <c r="C42" i="18"/>
  <c r="C44" i="18"/>
  <c r="C43" i="18"/>
  <c r="C45" i="18"/>
  <c r="C46" i="18"/>
  <c r="B37" i="18"/>
  <c r="B39" i="18"/>
  <c r="B40" i="18"/>
  <c r="B41" i="18"/>
  <c r="B42" i="18"/>
  <c r="B43" i="18"/>
  <c r="B44" i="18"/>
  <c r="B45" i="18"/>
  <c r="B46" i="18"/>
  <c r="D25" i="18"/>
  <c r="D21" i="18"/>
  <c r="D29" i="18"/>
  <c r="D22" i="18"/>
  <c r="D27" i="18"/>
  <c r="D28" i="18"/>
  <c r="D35" i="18"/>
  <c r="D34" i="18"/>
  <c r="D24" i="18"/>
  <c r="D30" i="18"/>
  <c r="D23" i="18"/>
  <c r="D32" i="18"/>
  <c r="D33" i="18"/>
  <c r="D26" i="18"/>
  <c r="D31" i="18"/>
  <c r="D36" i="18"/>
  <c r="D38" i="18"/>
  <c r="D47" i="18"/>
  <c r="D48" i="18"/>
  <c r="B36" i="18"/>
  <c r="B38" i="18"/>
  <c r="B47" i="18"/>
  <c r="B48" i="18"/>
  <c r="C36" i="18"/>
  <c r="C38" i="18"/>
  <c r="C47" i="18"/>
  <c r="C48" i="18"/>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A184" i="15" l="1"/>
  <c r="A185" i="15" l="1"/>
  <c r="B51" i="23" l="1"/>
  <c r="B45" i="23"/>
  <c r="B60" i="23"/>
  <c r="B56" i="23"/>
  <c r="B59" i="23"/>
  <c r="B63" i="23"/>
  <c r="B49" i="23"/>
  <c r="B48" i="23"/>
  <c r="B50" i="23"/>
  <c r="B61" i="23"/>
  <c r="B44" i="23"/>
  <c r="B57" i="23"/>
  <c r="B62" i="23"/>
  <c r="B55" i="23"/>
  <c r="B46" i="23"/>
  <c r="B54" i="23"/>
  <c r="B52" i="23"/>
  <c r="B47" i="23"/>
  <c r="B58" i="23"/>
  <c r="B53" i="23"/>
  <c r="B42" i="23"/>
  <c r="B43" i="23"/>
  <c r="B7" i="6"/>
  <c r="B10" i="23"/>
  <c r="B11" i="23"/>
  <c r="B12" i="23"/>
  <c r="B13" i="23"/>
  <c r="B14" i="23"/>
  <c r="B25" i="23"/>
  <c r="B24" i="23"/>
  <c r="B19" i="23"/>
  <c r="B28" i="23"/>
  <c r="B17" i="23"/>
  <c r="B27" i="23"/>
  <c r="B21" i="23"/>
  <c r="B23" i="23"/>
  <c r="B38" i="23"/>
  <c r="B15" i="23"/>
  <c r="B22" i="23"/>
  <c r="B39" i="23"/>
  <c r="B37" i="23"/>
  <c r="B36" i="23"/>
  <c r="B30" i="23"/>
  <c r="B26" i="23"/>
  <c r="B31" i="23"/>
  <c r="B41" i="23"/>
  <c r="B33" i="23"/>
  <c r="B35" i="23"/>
  <c r="B18" i="23"/>
  <c r="B40" i="23"/>
  <c r="B32" i="23"/>
  <c r="B34" i="23"/>
  <c r="B16" i="23"/>
  <c r="B20" i="23"/>
  <c r="B29" i="23"/>
  <c r="D49" i="23" l="1"/>
  <c r="F49" i="23" s="1"/>
  <c r="C49" i="23"/>
  <c r="C53" i="23"/>
  <c r="D53" i="23"/>
  <c r="F53" i="23" s="1"/>
  <c r="D54" i="23"/>
  <c r="F54" i="23" s="1"/>
  <c r="C54" i="23"/>
  <c r="C57" i="23"/>
  <c r="D57" i="23"/>
  <c r="F57" i="23" s="1"/>
  <c r="C48" i="23"/>
  <c r="D48" i="23"/>
  <c r="F48" i="23" s="1"/>
  <c r="C56" i="23"/>
  <c r="D56" i="23"/>
  <c r="F56" i="23" s="1"/>
  <c r="C58" i="23"/>
  <c r="D58" i="23"/>
  <c r="F58" i="23" s="1"/>
  <c r="C55" i="23"/>
  <c r="D55" i="23"/>
  <c r="F55" i="23" s="1"/>
  <c r="C61" i="23"/>
  <c r="D61" i="23"/>
  <c r="F61" i="23" s="1"/>
  <c r="C63" i="23"/>
  <c r="D63" i="23"/>
  <c r="F63" i="23" s="1"/>
  <c r="C60" i="23"/>
  <c r="D60" i="23"/>
  <c r="F60" i="23" s="1"/>
  <c r="C52" i="23"/>
  <c r="D52" i="23"/>
  <c r="F52" i="23" s="1"/>
  <c r="C62" i="23"/>
  <c r="D62" i="23"/>
  <c r="F62" i="23" s="1"/>
  <c r="C50" i="23"/>
  <c r="D50" i="23"/>
  <c r="F50" i="23" s="1"/>
  <c r="D59" i="23"/>
  <c r="F59" i="23" s="1"/>
  <c r="C59" i="23"/>
  <c r="C51" i="23"/>
  <c r="D51" i="23"/>
  <c r="F51" i="23" s="1"/>
  <c r="D10" i="23"/>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82" i="6" l="1"/>
  <c r="A148" i="6" l="1"/>
  <c r="B81" i="6"/>
  <c r="B157" i="6" l="1"/>
  <c r="A223" i="6" l="1"/>
  <c r="B156" i="6"/>
  <c r="B232" i="6" l="1"/>
  <c r="A298" i="6" l="1"/>
  <c r="B231" i="6"/>
  <c r="B307" i="6" l="1"/>
  <c r="A373" i="6" l="1"/>
  <c r="B306" i="6"/>
  <c r="B382" i="6" l="1"/>
  <c r="A448" i="6" l="1"/>
  <c r="B381" i="6"/>
  <c r="B457" i="6" l="1"/>
  <c r="A523" i="6" l="1"/>
  <c r="B456" i="6"/>
  <c r="B532" i="6" l="1"/>
  <c r="A598" i="6" l="1"/>
  <c r="B531" i="6"/>
  <c r="B607" i="6" l="1"/>
  <c r="B606" i="6" l="1"/>
  <c r="A673" i="6"/>
  <c r="B682" i="6" l="1"/>
  <c r="B681" i="6" l="1"/>
  <c r="A748" i="6"/>
  <c r="B757" i="6" l="1"/>
  <c r="B756" i="6" l="1"/>
  <c r="A823" i="6"/>
  <c r="B832" i="6" l="1"/>
  <c r="A898" i="6" l="1"/>
  <c r="B831" i="6"/>
  <c r="B907" i="6" l="1"/>
  <c r="B906" i="6" l="1"/>
  <c r="A973" i="6"/>
  <c r="B982" i="6" l="1"/>
  <c r="B981" i="6" l="1"/>
  <c r="A1048" i="6"/>
  <c r="B1057" i="6" l="1"/>
  <c r="B1056" i="6" l="1"/>
  <c r="A1123" i="6"/>
  <c r="B1132" i="6" l="1"/>
  <c r="B1131" i="6" l="1"/>
  <c r="A1198" i="6"/>
  <c r="B1207" i="6" l="1"/>
  <c r="A1273" i="6" l="1"/>
  <c r="B1206" i="6"/>
  <c r="B1282" i="6" l="1"/>
  <c r="B1281" i="6" l="1"/>
  <c r="A1348" i="6"/>
  <c r="B1357" i="6" l="1"/>
  <c r="B1356" i="6" l="1"/>
  <c r="A1423" i="6"/>
  <c r="B1432" i="6" l="1"/>
  <c r="B1431" i="6" l="1"/>
  <c r="A1498" i="6"/>
  <c r="B1507" i="6" l="1"/>
  <c r="B1506" i="6" l="1"/>
  <c r="A1573" i="6"/>
  <c r="B1582" i="6" l="1"/>
  <c r="B1581" i="6" l="1"/>
  <c r="A1648" i="6"/>
  <c r="B1657" i="6" l="1"/>
  <c r="B1656" i="6" l="1"/>
  <c r="A1723" i="6"/>
  <c r="B1732" i="6" l="1"/>
  <c r="A1798" i="6" l="1"/>
  <c r="B1731" i="6"/>
  <c r="F51" i="2" l="1"/>
  <c r="G51" i="2" s="1"/>
  <c r="H51" i="2" s="1"/>
  <c r="B1807" i="6"/>
  <c r="A1884" i="6" l="1"/>
  <c r="B1806" i="6"/>
  <c r="F52" i="2" l="1"/>
  <c r="G52" i="2" s="1"/>
  <c r="H52" i="2" s="1"/>
  <c r="B1893" i="6"/>
  <c r="B1892" i="6" l="1"/>
  <c r="A1959" i="6"/>
  <c r="F53" i="2" l="1"/>
  <c r="G53" i="2" s="1"/>
  <c r="H53" i="2" s="1"/>
  <c r="B1968" i="6"/>
  <c r="B1967" i="6" l="1"/>
  <c r="A2034" i="6"/>
  <c r="F54" i="2" l="1"/>
  <c r="G54" i="2" s="1"/>
  <c r="H54" i="2" s="1"/>
  <c r="B2043" i="6"/>
  <c r="B2042" i="6" l="1"/>
  <c r="A2112" i="6"/>
  <c r="F55" i="2" l="1"/>
  <c r="G55" i="2" s="1"/>
  <c r="H55" i="2" s="1"/>
  <c r="B2121" i="6"/>
  <c r="A2187" i="6" s="1"/>
  <c r="G2162" i="6"/>
  <c r="G2157" i="6"/>
  <c r="G2159" i="6"/>
  <c r="G2158" i="6"/>
  <c r="G2160" i="6"/>
  <c r="B2120" i="6" l="1"/>
  <c r="G2164" i="6"/>
  <c r="G2187" i="6" s="1"/>
  <c r="G2188" i="6" s="1"/>
  <c r="F2237" i="6"/>
  <c r="G2237" i="6" s="1"/>
  <c r="F2235" i="6"/>
  <c r="G2235" i="6" s="1"/>
  <c r="F2232" i="6"/>
  <c r="G2232" i="6" s="1"/>
  <c r="F2234" i="6"/>
  <c r="G2234" i="6" s="1"/>
  <c r="F2233" i="6"/>
  <c r="G2233" i="6" s="1"/>
  <c r="B2196" i="6"/>
  <c r="G39" i="6"/>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44" i="9"/>
  <c r="B45" i="9"/>
  <c r="B36" i="9"/>
  <c r="B38" i="9"/>
  <c r="B34" i="9"/>
  <c r="B40" i="9"/>
  <c r="B42" i="9"/>
  <c r="B35" i="9"/>
  <c r="B43" i="9"/>
  <c r="B33" i="9"/>
  <c r="B37" i="9"/>
  <c r="B30" i="9"/>
  <c r="B26" i="9"/>
  <c r="B32" i="9"/>
  <c r="B27" i="9"/>
  <c r="B24" i="9"/>
  <c r="B23" i="9"/>
  <c r="B22" i="9"/>
  <c r="B19" i="9"/>
  <c r="B18" i="9"/>
  <c r="B16" i="9"/>
  <c r="B15" i="9"/>
  <c r="B25" i="9"/>
  <c r="B31" i="9"/>
  <c r="B17" i="9"/>
  <c r="B41" i="9"/>
  <c r="B20" i="9"/>
  <c r="B39" i="9"/>
  <c r="B21" i="9"/>
  <c r="B29" i="9"/>
  <c r="B28" i="9"/>
  <c r="B13" i="9"/>
  <c r="G2239" i="6" l="1"/>
  <c r="G2262" i="6" s="1"/>
  <c r="G2263" i="6" s="1"/>
  <c r="G73" i="6"/>
  <c r="G74" i="6" s="1"/>
  <c r="A2262" i="6"/>
  <c r="B2271" i="6" s="1"/>
  <c r="B2195" i="6"/>
  <c r="D17" i="18"/>
  <c r="D16" i="18"/>
  <c r="B2270" i="6" l="1"/>
  <c r="C2270" i="6" s="1"/>
  <c r="A2337" i="6"/>
  <c r="B2346" i="6" s="1"/>
  <c r="C2271" i="6"/>
  <c r="B2337" i="6" s="1"/>
  <c r="G2271" i="6"/>
  <c r="F57" i="2"/>
  <c r="G57" i="2" s="1"/>
  <c r="H57" i="2" s="1"/>
  <c r="F58" i="2"/>
  <c r="G58" i="2" s="1"/>
  <c r="H58" i="2" s="1"/>
  <c r="F56" i="2"/>
  <c r="G56" i="2" s="1"/>
  <c r="H56" i="2" s="1"/>
  <c r="H17" i="2"/>
  <c r="F2337" i="6" l="1"/>
  <c r="E2289" i="6"/>
  <c r="F2338" i="6"/>
  <c r="A2412" i="6"/>
  <c r="B2345" i="6"/>
  <c r="G2346" i="6"/>
  <c r="C2346" i="6"/>
  <c r="B2412" i="6" s="1"/>
  <c r="F16" i="18"/>
  <c r="E16" i="18" s="1"/>
  <c r="B2421" i="6" l="1"/>
  <c r="F59" i="2"/>
  <c r="G59" i="2" s="1"/>
  <c r="H59" i="2" s="1"/>
  <c r="F2413" i="6"/>
  <c r="E2364" i="6"/>
  <c r="F2412" i="6"/>
  <c r="G16" i="18"/>
  <c r="A2487" i="6" l="1"/>
  <c r="B2420" i="6"/>
  <c r="C2421" i="6"/>
  <c r="B2487" i="6" s="1"/>
  <c r="G2421" i="6"/>
  <c r="F29" i="2"/>
  <c r="G29" i="2" s="1"/>
  <c r="F24" i="2"/>
  <c r="E2439" i="6" l="1"/>
  <c r="F2488" i="6"/>
  <c r="F2487" i="6"/>
  <c r="B2496" i="6"/>
  <c r="M29" i="2"/>
  <c r="H29" i="2"/>
  <c r="G24" i="2"/>
  <c r="A2562" i="6" l="1"/>
  <c r="B2495" i="6"/>
  <c r="C2495" i="6" s="1"/>
  <c r="G2496" i="6"/>
  <c r="C2496" i="6"/>
  <c r="B2562" i="6" s="1"/>
  <c r="M24" i="2"/>
  <c r="H24" i="2"/>
  <c r="E2514" i="6" l="1"/>
  <c r="F2563" i="6"/>
  <c r="F2562" i="6"/>
  <c r="B2571" i="6"/>
  <c r="F19" i="2"/>
  <c r="G19" i="2" s="1"/>
  <c r="F23" i="2"/>
  <c r="G23" i="2" s="1"/>
  <c r="A2637" i="6" l="1"/>
  <c r="B2570" i="6"/>
  <c r="C2570" i="6" s="1"/>
  <c r="C2571" i="6"/>
  <c r="B2637" i="6" s="1"/>
  <c r="G2571" i="6"/>
  <c r="F28" i="18"/>
  <c r="F23" i="18"/>
  <c r="F18" i="18"/>
  <c r="G18" i="18" s="1"/>
  <c r="M19" i="2"/>
  <c r="M23" i="2"/>
  <c r="H19" i="2"/>
  <c r="H23" i="2"/>
  <c r="F63" i="2" l="1"/>
  <c r="G63" i="2" s="1"/>
  <c r="H63" i="2" s="1"/>
  <c r="F2638" i="6"/>
  <c r="E2589" i="6"/>
  <c r="F2637" i="6"/>
  <c r="B2646" i="6"/>
  <c r="G28" i="18"/>
  <c r="G23" i="18"/>
  <c r="E18" i="18"/>
  <c r="E23" i="18"/>
  <c r="E28" i="18"/>
  <c r="B2645" i="6" l="1"/>
  <c r="C2645" i="6" s="1"/>
  <c r="A2712" i="6"/>
  <c r="C2646" i="6"/>
  <c r="B2712" i="6" s="1"/>
  <c r="G2646" i="6"/>
  <c r="F32" i="2"/>
  <c r="G32" i="2" s="1"/>
  <c r="F33" i="2"/>
  <c r="G33" i="2" s="1"/>
  <c r="F34" i="2"/>
  <c r="G34" i="2" s="1"/>
  <c r="F38" i="2"/>
  <c r="F42" i="2"/>
  <c r="G42" i="2" s="1"/>
  <c r="F43" i="2"/>
  <c r="G43" i="2" s="1"/>
  <c r="F64" i="2" l="1"/>
  <c r="G64" i="2" s="1"/>
  <c r="H64" i="2" s="1"/>
  <c r="F2713" i="6"/>
  <c r="F2712" i="6"/>
  <c r="E2664" i="6"/>
  <c r="B2721" i="6"/>
  <c r="M42" i="2"/>
  <c r="M33" i="2"/>
  <c r="M32" i="2"/>
  <c r="H43" i="2"/>
  <c r="M43" i="2"/>
  <c r="H33" i="2"/>
  <c r="F32" i="18"/>
  <c r="H42" i="2"/>
  <c r="H34" i="2"/>
  <c r="F33" i="18"/>
  <c r="H32" i="2"/>
  <c r="F31" i="18"/>
  <c r="G38" i="2"/>
  <c r="B2720" i="6" l="1"/>
  <c r="C2720" i="6" s="1"/>
  <c r="A2787" i="6"/>
  <c r="C2721" i="6"/>
  <c r="B2787" i="6" s="1"/>
  <c r="G2721" i="6"/>
  <c r="F42" i="18"/>
  <c r="G42" i="18" s="1"/>
  <c r="G31" i="18"/>
  <c r="G33" i="18"/>
  <c r="H38" i="2"/>
  <c r="F37" i="18"/>
  <c r="G32" i="18"/>
  <c r="E33" i="18"/>
  <c r="E32" i="18"/>
  <c r="E31" i="18"/>
  <c r="F65" i="2" l="1"/>
  <c r="G65" i="2" s="1"/>
  <c r="H65" i="2" s="1"/>
  <c r="E42" i="18"/>
  <c r="E2739" i="6"/>
  <c r="F2788" i="6"/>
  <c r="F2787" i="6"/>
  <c r="B2796" i="6"/>
  <c r="G37" i="18"/>
  <c r="F44" i="2"/>
  <c r="G44" i="2" s="1"/>
  <c r="F45" i="2"/>
  <c r="G45" i="2" s="1"/>
  <c r="E37" i="18"/>
  <c r="B2795" i="6" l="1"/>
  <c r="C2795" i="6" s="1"/>
  <c r="A2862" i="6"/>
  <c r="C2796" i="6"/>
  <c r="B2862" i="6" s="1"/>
  <c r="G2796" i="6"/>
  <c r="M45" i="2"/>
  <c r="M44" i="2"/>
  <c r="H45" i="2"/>
  <c r="F44" i="18"/>
  <c r="H44" i="2"/>
  <c r="F43" i="18"/>
  <c r="F46" i="2"/>
  <c r="G46" i="2" s="1"/>
  <c r="E2814" i="6" l="1"/>
  <c r="F2863" i="6"/>
  <c r="F2862" i="6"/>
  <c r="B2871" i="6"/>
  <c r="M46" i="2"/>
  <c r="G43" i="18"/>
  <c r="G44" i="18"/>
  <c r="H46" i="2"/>
  <c r="F45" i="18"/>
  <c r="F47" i="2"/>
  <c r="E43" i="18"/>
  <c r="E44" i="18"/>
  <c r="B2870" i="6" l="1"/>
  <c r="A2937" i="6"/>
  <c r="C2871" i="6"/>
  <c r="B2937" i="6" s="1"/>
  <c r="G2871" i="6"/>
  <c r="G45" i="18"/>
  <c r="G47" i="2"/>
  <c r="E45" i="18"/>
  <c r="F2937" i="6" l="1"/>
  <c r="E2889" i="6"/>
  <c r="F2938" i="6"/>
  <c r="B2946" i="6"/>
  <c r="M47" i="2"/>
  <c r="H47" i="2"/>
  <c r="F46" i="18"/>
  <c r="A3012" i="6" l="1"/>
  <c r="B2945" i="6"/>
  <c r="G2946" i="6"/>
  <c r="C2946" i="6"/>
  <c r="B3012" i="6" s="1"/>
  <c r="G46" i="18"/>
  <c r="E46" i="18"/>
  <c r="F3013" i="6" l="1"/>
  <c r="F3012" i="6"/>
  <c r="E2964" i="6"/>
  <c r="B3021" i="6"/>
  <c r="A3087" i="6" l="1"/>
  <c r="B3020" i="6"/>
  <c r="C3020" i="6" s="1"/>
  <c r="C3021" i="6"/>
  <c r="B3087" i="6" s="1"/>
  <c r="G3021" i="6"/>
  <c r="E3039" i="6" l="1"/>
  <c r="F3087" i="6"/>
  <c r="F3088" i="6"/>
  <c r="B3096" i="6"/>
  <c r="A3162" i="6" l="1"/>
  <c r="B3095" i="6"/>
  <c r="C3095" i="6" s="1"/>
  <c r="C3096" i="6"/>
  <c r="B3162" i="6" s="1"/>
  <c r="G3096" i="6"/>
  <c r="C1657" i="6"/>
  <c r="B1723" i="6" s="1"/>
  <c r="C49" i="18"/>
  <c r="D49" i="18"/>
  <c r="B49" i="18"/>
  <c r="B46" i="9"/>
  <c r="D60" i="18"/>
  <c r="D52" i="18"/>
  <c r="D56" i="18"/>
  <c r="C55" i="18"/>
  <c r="C58" i="18"/>
  <c r="B54" i="18"/>
  <c r="B59" i="18"/>
  <c r="C61" i="18"/>
  <c r="B61" i="18"/>
  <c r="B62" i="18"/>
  <c r="D61" i="18"/>
  <c r="D62" i="18"/>
  <c r="C62" i="18"/>
  <c r="B60" i="18"/>
  <c r="D53" i="18"/>
  <c r="D57" i="18"/>
  <c r="C52" i="18"/>
  <c r="C56" i="18"/>
  <c r="B55" i="18"/>
  <c r="B58" i="18"/>
  <c r="C60" i="18"/>
  <c r="D54" i="18"/>
  <c r="D58" i="18"/>
  <c r="C53" i="18"/>
  <c r="C57" i="18"/>
  <c r="B52" i="18"/>
  <c r="B56" i="18"/>
  <c r="D55" i="18"/>
  <c r="D59" i="18"/>
  <c r="C54" i="18"/>
  <c r="C59" i="18"/>
  <c r="B53" i="18"/>
  <c r="B57" i="18"/>
  <c r="B63" i="18"/>
  <c r="C63" i="18"/>
  <c r="D63" i="18"/>
  <c r="B64" i="18"/>
  <c r="D64" i="18"/>
  <c r="C64" i="18"/>
  <c r="C65" i="18"/>
  <c r="D65" i="18"/>
  <c r="B65" i="18"/>
  <c r="B66" i="18"/>
  <c r="D66" i="18"/>
  <c r="C66" i="18"/>
  <c r="B67" i="18"/>
  <c r="D67" i="18"/>
  <c r="C67" i="18"/>
  <c r="B69" i="18"/>
  <c r="C68" i="18"/>
  <c r="B68" i="18"/>
  <c r="D68" i="18"/>
  <c r="C69" i="18"/>
  <c r="D69" i="18"/>
  <c r="C70" i="18"/>
  <c r="B70" i="18"/>
  <c r="D70" i="18"/>
  <c r="C71" i="18"/>
  <c r="B71" i="18"/>
  <c r="D71" i="18"/>
  <c r="C72" i="18"/>
  <c r="B73" i="18"/>
  <c r="D72" i="18"/>
  <c r="B72" i="18"/>
  <c r="C73" i="18"/>
  <c r="D73" i="18"/>
  <c r="B74" i="18"/>
  <c r="B75" i="18"/>
  <c r="C74" i="18"/>
  <c r="D74" i="18"/>
  <c r="C75" i="18"/>
  <c r="D75" i="18"/>
  <c r="C76" i="18"/>
  <c r="B76" i="18"/>
  <c r="D76" i="18"/>
  <c r="D77" i="18"/>
  <c r="C77" i="18"/>
  <c r="B77" i="18"/>
  <c r="B78" i="18"/>
  <c r="C78" i="18"/>
  <c r="D78" i="18"/>
  <c r="D79" i="18"/>
  <c r="C79" i="18"/>
  <c r="B79" i="18"/>
  <c r="D80" i="18"/>
  <c r="B81" i="18"/>
  <c r="B80" i="18"/>
  <c r="C80" i="18"/>
  <c r="D81" i="18"/>
  <c r="C81" i="18"/>
  <c r="C82" i="18"/>
  <c r="D82" i="18"/>
  <c r="B57" i="9"/>
  <c r="B65" i="9"/>
  <c r="B60" i="9"/>
  <c r="B70" i="9"/>
  <c r="B52" i="9"/>
  <c r="B48" i="9"/>
  <c r="B75" i="9"/>
  <c r="B63" i="9"/>
  <c r="B67" i="9"/>
  <c r="B79" i="9"/>
  <c r="B54" i="9"/>
  <c r="B47" i="9"/>
  <c r="B71" i="9"/>
  <c r="B77" i="9"/>
  <c r="B66" i="9"/>
  <c r="B56" i="9"/>
  <c r="B61" i="9"/>
  <c r="B49" i="9"/>
  <c r="B53" i="9"/>
  <c r="B73" i="9"/>
  <c r="B72" i="9"/>
  <c r="B59" i="9"/>
  <c r="B55" i="9"/>
  <c r="B50" i="9"/>
  <c r="B64" i="9"/>
  <c r="B58" i="9"/>
  <c r="B74" i="9"/>
  <c r="B51" i="9"/>
  <c r="B76" i="9"/>
  <c r="B69" i="9"/>
  <c r="B68" i="9"/>
  <c r="B78" i="9"/>
  <c r="B62" i="9"/>
  <c r="B51" i="18"/>
  <c r="C51" i="18"/>
  <c r="D51" i="18"/>
  <c r="D50" i="18"/>
  <c r="B50" i="18"/>
  <c r="C50" i="18"/>
  <c r="F53" i="18"/>
  <c r="E53" i="18" s="1"/>
  <c r="F54" i="18"/>
  <c r="E54" i="18" s="1"/>
  <c r="F58" i="18"/>
  <c r="E58" i="18" s="1"/>
  <c r="F50" i="18"/>
  <c r="E50" i="18" s="1"/>
  <c r="F64" i="18"/>
  <c r="E64" i="18" s="1"/>
  <c r="F62" i="18"/>
  <c r="E62" i="18" s="1"/>
  <c r="F63" i="18"/>
  <c r="E63" i="18" s="1"/>
  <c r="F52" i="18"/>
  <c r="E52" i="18" s="1"/>
  <c r="F56" i="18"/>
  <c r="E56" i="18" s="1"/>
  <c r="F55" i="18"/>
  <c r="E55" i="18" s="1"/>
  <c r="F51" i="18"/>
  <c r="E51" i="18" s="1"/>
  <c r="F57" i="18"/>
  <c r="E57" i="18" s="1"/>
  <c r="G7" i="6"/>
  <c r="C7" i="6"/>
  <c r="B73" i="6" s="1"/>
  <c r="G82" i="6"/>
  <c r="C82" i="6"/>
  <c r="B148" i="6" s="1"/>
  <c r="C382" i="6"/>
  <c r="B448" i="6" s="1"/>
  <c r="C457" i="6"/>
  <c r="B523" i="6" s="1"/>
  <c r="G532" i="6"/>
  <c r="G1132" i="6"/>
  <c r="C681" i="6"/>
  <c r="G1057" i="6"/>
  <c r="G757" i="6"/>
  <c r="G307" i="6"/>
  <c r="C532" i="6"/>
  <c r="B598" i="6" s="1"/>
  <c r="C682" i="6"/>
  <c r="B748" i="6" s="1"/>
  <c r="G832" i="6"/>
  <c r="C756" i="6"/>
  <c r="C1057" i="6"/>
  <c r="B1123" i="6" s="1"/>
  <c r="C232" i="6"/>
  <c r="B298" i="6" s="1"/>
  <c r="C907" i="6"/>
  <c r="B973" i="6" s="1"/>
  <c r="C757" i="6"/>
  <c r="B823" i="6" s="1"/>
  <c r="G232" i="6"/>
  <c r="G607" i="6"/>
  <c r="C307" i="6"/>
  <c r="B373" i="6" s="1"/>
  <c r="G457" i="6"/>
  <c r="C607" i="6"/>
  <c r="B673" i="6" s="1"/>
  <c r="G382" i="6"/>
  <c r="C157" i="6"/>
  <c r="B223" i="6" s="1"/>
  <c r="G907" i="6"/>
  <c r="C982" i="6"/>
  <c r="B1048" i="6" s="1"/>
  <c r="G682" i="6"/>
  <c r="C1132" i="6"/>
  <c r="B1198" i="6" s="1"/>
  <c r="C832" i="6"/>
  <c r="B898" i="6" s="1"/>
  <c r="G157" i="6"/>
  <c r="G982" i="6"/>
  <c r="G1207" i="6"/>
  <c r="G1507" i="6"/>
  <c r="G1732" i="6"/>
  <c r="G1357" i="6"/>
  <c r="G2043" i="6"/>
  <c r="C1893" i="6"/>
  <c r="B1959" i="6" s="1"/>
  <c r="G2196" i="6"/>
  <c r="C2196" i="6"/>
  <c r="B2262" i="6" s="1"/>
  <c r="C1357" i="6"/>
  <c r="B1423" i="6" s="1"/>
  <c r="C1807" i="6"/>
  <c r="B1884" i="6" s="1"/>
  <c r="G1807" i="6"/>
  <c r="G1282" i="6"/>
  <c r="G2121" i="6"/>
  <c r="C2043" i="6"/>
  <c r="B2112" i="6" s="1"/>
  <c r="C1968" i="6"/>
  <c r="B2034" i="6" s="1"/>
  <c r="C1282" i="6"/>
  <c r="B1348" i="6" s="1"/>
  <c r="G1432" i="6"/>
  <c r="C1207" i="6"/>
  <c r="B1273" i="6" s="1"/>
  <c r="C1732" i="6"/>
  <c r="B1798" i="6" s="1"/>
  <c r="G1893" i="6"/>
  <c r="C1582" i="6"/>
  <c r="B1648" i="6" s="1"/>
  <c r="G1657" i="6"/>
  <c r="C1432" i="6"/>
  <c r="B1498" i="6" s="1"/>
  <c r="G1582" i="6"/>
  <c r="G1968" i="6"/>
  <c r="C2121" i="6"/>
  <c r="B2187" i="6" s="1"/>
  <c r="C1507" i="6"/>
  <c r="B1573" i="6" s="1"/>
  <c r="C1281" i="6"/>
  <c r="C1892" i="6"/>
  <c r="C1967" i="6"/>
  <c r="C2195" i="6"/>
  <c r="C1731" i="6"/>
  <c r="C1356" i="6"/>
  <c r="C2042" i="6"/>
  <c r="C2120" i="6"/>
  <c r="C1206" i="6"/>
  <c r="C1656" i="6"/>
  <c r="C1806" i="6"/>
  <c r="C1431" i="6"/>
  <c r="C1131" i="6"/>
  <c r="E3114" i="6" l="1"/>
  <c r="F3163" i="6"/>
  <c r="F3162" i="6"/>
  <c r="B3171" i="6"/>
  <c r="G63" i="18"/>
  <c r="G55" i="18"/>
  <c r="G57" i="18"/>
  <c r="G62" i="18"/>
  <c r="G58" i="18"/>
  <c r="G53" i="18"/>
  <c r="G56" i="18"/>
  <c r="G50" i="18"/>
  <c r="G64" i="18"/>
  <c r="G54" i="18"/>
  <c r="G52" i="18"/>
  <c r="G51" i="18"/>
  <c r="E25" i="6"/>
  <c r="F74" i="6"/>
  <c r="F73" i="6"/>
  <c r="F149" i="6"/>
  <c r="E100" i="6"/>
  <c r="F148" i="6"/>
  <c r="F1649" i="6"/>
  <c r="E1600" i="6"/>
  <c r="F1648" i="6"/>
  <c r="F1960" i="6"/>
  <c r="F1959" i="6"/>
  <c r="E1911" i="6"/>
  <c r="E1300" i="6"/>
  <c r="F1349" i="6"/>
  <c r="F1348" i="6"/>
  <c r="F1423" i="6"/>
  <c r="E1375" i="6"/>
  <c r="F1424" i="6"/>
  <c r="F673" i="6"/>
  <c r="F674" i="6"/>
  <c r="E625" i="6"/>
  <c r="F823" i="6"/>
  <c r="E775" i="6"/>
  <c r="F824" i="6"/>
  <c r="F1199" i="6"/>
  <c r="F1198" i="6"/>
  <c r="E1150" i="6"/>
  <c r="E1825" i="6"/>
  <c r="F1884" i="6"/>
  <c r="F1885" i="6"/>
  <c r="E2214" i="6"/>
  <c r="F2263" i="6"/>
  <c r="F2262" i="6"/>
  <c r="E1750" i="6"/>
  <c r="F1799" i="6"/>
  <c r="F1798" i="6"/>
  <c r="F1049" i="6"/>
  <c r="E1000" i="6"/>
  <c r="F1048" i="6"/>
  <c r="F748" i="6"/>
  <c r="E700" i="6"/>
  <c r="F749" i="6"/>
  <c r="F448" i="6"/>
  <c r="F449" i="6"/>
  <c r="E400" i="6"/>
  <c r="F299" i="6"/>
  <c r="F298" i="6"/>
  <c r="E250" i="6"/>
  <c r="E1075" i="6"/>
  <c r="F1123" i="6"/>
  <c r="F1124" i="6"/>
  <c r="F598" i="6"/>
  <c r="E550" i="6"/>
  <c r="F599" i="6"/>
  <c r="F2035" i="6"/>
  <c r="E1986" i="6"/>
  <c r="F2034" i="6"/>
  <c r="F1724" i="6"/>
  <c r="F1723" i="6"/>
  <c r="E1675" i="6"/>
  <c r="F1574" i="6"/>
  <c r="F1573" i="6"/>
  <c r="E1525" i="6"/>
  <c r="F224" i="6"/>
  <c r="F223" i="6"/>
  <c r="E175" i="6"/>
  <c r="F524" i="6"/>
  <c r="E475" i="6"/>
  <c r="F523" i="6"/>
  <c r="F373" i="6"/>
  <c r="E325" i="6"/>
  <c r="F374" i="6"/>
  <c r="F1499" i="6"/>
  <c r="F1498" i="6"/>
  <c r="E1450" i="6"/>
  <c r="E2139" i="6"/>
  <c r="F2187" i="6"/>
  <c r="F2188" i="6"/>
  <c r="E2061" i="6"/>
  <c r="F2112" i="6"/>
  <c r="F2113" i="6"/>
  <c r="F1273" i="6"/>
  <c r="F1274" i="6"/>
  <c r="E1225" i="6"/>
  <c r="F973" i="6"/>
  <c r="E925" i="6"/>
  <c r="F974" i="6"/>
  <c r="F899" i="6"/>
  <c r="F898" i="6"/>
  <c r="E850" i="6"/>
  <c r="A3237" i="6" l="1"/>
  <c r="B3170" i="6"/>
  <c r="C3170" i="6" s="1"/>
  <c r="C3171" i="6"/>
  <c r="B3237" i="6" s="1"/>
  <c r="G3171" i="6"/>
  <c r="F3237" i="6" l="1"/>
  <c r="E3189" i="6"/>
  <c r="F3238" i="6"/>
  <c r="B3246" i="6"/>
  <c r="A3312" i="6" l="1"/>
  <c r="B3245" i="6"/>
  <c r="C3245" i="6" s="1"/>
  <c r="G3246" i="6"/>
  <c r="C3246" i="6"/>
  <c r="B3312" i="6" s="1"/>
  <c r="F3312" i="6" l="1"/>
  <c r="F3313" i="6"/>
  <c r="E3264" i="6"/>
  <c r="B3321" i="6"/>
  <c r="Y17" i="9"/>
  <c r="A3387" i="6" l="1"/>
  <c r="B3320" i="6"/>
  <c r="C3320" i="6" s="1"/>
  <c r="C3321" i="6"/>
  <c r="B3387" i="6" s="1"/>
  <c r="G3321" i="6"/>
  <c r="Y21" i="9"/>
  <c r="Y20" i="9"/>
  <c r="Y28" i="9"/>
  <c r="E3339" i="6" l="1"/>
  <c r="F3388" i="6"/>
  <c r="F3387" i="6"/>
  <c r="B3396" i="6"/>
  <c r="Y26" i="9"/>
  <c r="Y29" i="9"/>
  <c r="Y27" i="9"/>
  <c r="Y22" i="9"/>
  <c r="Y23" i="9"/>
  <c r="Y25" i="9"/>
  <c r="Y15" i="9"/>
  <c r="A3462" i="6" l="1"/>
  <c r="B3471" i="6" s="1"/>
  <c r="B3395" i="6"/>
  <c r="C3395" i="6" s="1"/>
  <c r="C3396" i="6"/>
  <c r="B3462" i="6" s="1"/>
  <c r="G3396" i="6"/>
  <c r="Y24" i="9"/>
  <c r="Y16" i="9"/>
  <c r="Y19" i="9"/>
  <c r="Y14" i="9"/>
  <c r="E3414" i="6" l="1"/>
  <c r="F3463" i="6"/>
  <c r="F3462" i="6"/>
  <c r="A3537" i="6"/>
  <c r="B3546" i="6" s="1"/>
  <c r="B3470" i="6"/>
  <c r="C3470" i="6" s="1"/>
  <c r="C3471" i="6"/>
  <c r="B3537" i="6" s="1"/>
  <c r="G3471" i="6"/>
  <c r="B3545" i="6" l="1"/>
  <c r="C3545" i="6" s="1"/>
  <c r="A3612" i="6"/>
  <c r="B3621" i="6" s="1"/>
  <c r="G3546" i="6"/>
  <c r="C3546" i="6"/>
  <c r="B3612" i="6" s="1"/>
  <c r="F3537" i="6"/>
  <c r="E3489" i="6"/>
  <c r="F3538" i="6"/>
  <c r="A3687" i="6" l="1"/>
  <c r="B3696" i="6" s="1"/>
  <c r="B3620" i="6"/>
  <c r="C3620" i="6" s="1"/>
  <c r="C3621" i="6"/>
  <c r="B3687" i="6" s="1"/>
  <c r="G3621" i="6"/>
  <c r="F3613" i="6"/>
  <c r="F3612" i="6"/>
  <c r="E3564" i="6"/>
  <c r="E3639" i="6" l="1"/>
  <c r="F3687" i="6"/>
  <c r="F3688" i="6"/>
  <c r="A3762" i="6"/>
  <c r="B3771" i="6" s="1"/>
  <c r="B3695" i="6"/>
  <c r="C3695" i="6" s="1"/>
  <c r="C3696" i="6"/>
  <c r="B3762" i="6" s="1"/>
  <c r="G3696" i="6"/>
  <c r="E3714" i="6" l="1"/>
  <c r="F3763" i="6"/>
  <c r="F3762" i="6"/>
  <c r="A3837" i="6"/>
  <c r="B3846" i="6" s="1"/>
  <c r="B3770" i="6"/>
  <c r="C3770" i="6" s="1"/>
  <c r="C3771" i="6"/>
  <c r="B3837" i="6" s="1"/>
  <c r="G3771" i="6"/>
  <c r="F3838" i="6" l="1"/>
  <c r="E3789" i="6"/>
  <c r="F3837" i="6"/>
  <c r="A3912" i="6"/>
  <c r="B3921" i="6" s="1"/>
  <c r="B3845" i="6"/>
  <c r="C3845" i="6" s="1"/>
  <c r="G3846" i="6"/>
  <c r="C3846" i="6"/>
  <c r="B3912" i="6" s="1"/>
  <c r="A3987" i="6" l="1"/>
  <c r="B3996" i="6" s="1"/>
  <c r="B3920" i="6"/>
  <c r="F3912" i="6"/>
  <c r="F3913" i="6"/>
  <c r="E3864" i="6"/>
  <c r="A4062" i="6" l="1"/>
  <c r="B3995" i="6"/>
  <c r="C3995" i="6" s="1"/>
  <c r="C3996" i="6"/>
  <c r="B4062" i="6" s="1"/>
  <c r="G3996" i="6"/>
  <c r="F50" i="2"/>
  <c r="G50" i="2" s="1"/>
  <c r="F61" i="2"/>
  <c r="G61" i="2" s="1"/>
  <c r="F73" i="2"/>
  <c r="G73" i="2" s="1"/>
  <c r="F60" i="2"/>
  <c r="G60" i="2" s="1"/>
  <c r="F74" i="2"/>
  <c r="G74" i="2" s="1"/>
  <c r="F70" i="2"/>
  <c r="G70" i="2" s="1"/>
  <c r="F78" i="2"/>
  <c r="G78" i="2" s="1"/>
  <c r="F76" i="2"/>
  <c r="G76" i="2" s="1"/>
  <c r="F81" i="2"/>
  <c r="G81" i="2" s="1"/>
  <c r="F71" i="2"/>
  <c r="G71" i="2" s="1"/>
  <c r="F83" i="2"/>
  <c r="G83" i="2" s="1"/>
  <c r="F80" i="2"/>
  <c r="G80" i="2" s="1"/>
  <c r="F79" i="2"/>
  <c r="G79" i="2" s="1"/>
  <c r="F75" i="2"/>
  <c r="G75" i="2" s="1"/>
  <c r="F68" i="2"/>
  <c r="G68" i="2" s="1"/>
  <c r="F72" i="2"/>
  <c r="G72" i="2" s="1"/>
  <c r="F67" i="2"/>
  <c r="G67" i="2" s="1"/>
  <c r="F66" i="2"/>
  <c r="G66" i="2" s="1"/>
  <c r="F82" i="2"/>
  <c r="G82" i="2" s="1"/>
  <c r="F69" i="2"/>
  <c r="G69" i="2" s="1"/>
  <c r="F77" i="2"/>
  <c r="G77" i="2" s="1"/>
  <c r="F30" i="2"/>
  <c r="G30" i="2" s="1"/>
  <c r="F25" i="2"/>
  <c r="G25" i="2" s="1"/>
  <c r="F27" i="2"/>
  <c r="G27" i="2" s="1"/>
  <c r="F20" i="2"/>
  <c r="G20" i="2" s="1"/>
  <c r="F17" i="2"/>
  <c r="F21" i="2"/>
  <c r="G21" i="2" s="1"/>
  <c r="F22" i="18" s="1"/>
  <c r="F36" i="2"/>
  <c r="G36" i="2" s="1"/>
  <c r="F40" i="2"/>
  <c r="G40" i="2" s="1"/>
  <c r="F39" i="2"/>
  <c r="G39" i="2" s="1"/>
  <c r="F41" i="18" s="1"/>
  <c r="F35" i="2"/>
  <c r="G35" i="2" s="1"/>
  <c r="F48" i="2"/>
  <c r="G48" i="2" s="1"/>
  <c r="E4014" i="6" l="1"/>
  <c r="F4063" i="6"/>
  <c r="F4062" i="6"/>
  <c r="G41" i="18"/>
  <c r="E41" i="18"/>
  <c r="G22" i="18"/>
  <c r="E22" i="18"/>
  <c r="M21" i="2"/>
  <c r="F20" i="18"/>
  <c r="E20" i="18" s="1"/>
  <c r="H21" i="2"/>
  <c r="H68" i="2"/>
  <c r="F67" i="18"/>
  <c r="E67" i="18" s="1"/>
  <c r="H73" i="2"/>
  <c r="F72" i="18"/>
  <c r="F47" i="18"/>
  <c r="E47" i="18" s="1"/>
  <c r="H48" i="2"/>
  <c r="M48" i="2"/>
  <c r="M36" i="2"/>
  <c r="H36" i="2"/>
  <c r="H27" i="2"/>
  <c r="M27" i="2"/>
  <c r="F26" i="18"/>
  <c r="E26" i="18" s="1"/>
  <c r="H69" i="2"/>
  <c r="F68" i="18"/>
  <c r="E68" i="18" s="1"/>
  <c r="H72" i="2"/>
  <c r="F71" i="18"/>
  <c r="E71" i="18" s="1"/>
  <c r="H80" i="2"/>
  <c r="F79" i="18"/>
  <c r="E79" i="18" s="1"/>
  <c r="H76" i="2"/>
  <c r="F75" i="18"/>
  <c r="E75" i="18" s="1"/>
  <c r="H60" i="2"/>
  <c r="F59" i="18"/>
  <c r="E59" i="18" s="1"/>
  <c r="H82" i="2"/>
  <c r="F81" i="18"/>
  <c r="E81" i="18" s="1"/>
  <c r="H78" i="2"/>
  <c r="F77" i="18"/>
  <c r="E77" i="18" s="1"/>
  <c r="M30" i="2"/>
  <c r="H30" i="2"/>
  <c r="F29" i="18"/>
  <c r="E29" i="18" s="1"/>
  <c r="H66" i="2"/>
  <c r="F65" i="18"/>
  <c r="E65" i="18" s="1"/>
  <c r="H75" i="2"/>
  <c r="F74" i="18"/>
  <c r="E74" i="18" s="1"/>
  <c r="H71" i="2"/>
  <c r="F70" i="18"/>
  <c r="E70" i="18" s="1"/>
  <c r="H70" i="2"/>
  <c r="F69" i="18"/>
  <c r="E69" i="18" s="1"/>
  <c r="H61" i="2"/>
  <c r="F60" i="18"/>
  <c r="E60" i="18" s="1"/>
  <c r="H35" i="2"/>
  <c r="F34" i="18"/>
  <c r="E34" i="18" s="1"/>
  <c r="M35" i="2"/>
  <c r="H25" i="2"/>
  <c r="M25" i="2"/>
  <c r="F24" i="18"/>
  <c r="E24" i="18" s="1"/>
  <c r="H83" i="2"/>
  <c r="F82" i="18"/>
  <c r="E82" i="18" s="1"/>
  <c r="H39" i="2"/>
  <c r="M39" i="2"/>
  <c r="F38" i="18"/>
  <c r="E38" i="18" s="1"/>
  <c r="H40" i="2"/>
  <c r="M40" i="2"/>
  <c r="F39" i="18"/>
  <c r="E39" i="18" s="1"/>
  <c r="M20" i="2"/>
  <c r="H20" i="2"/>
  <c r="H77" i="2"/>
  <c r="F76" i="18"/>
  <c r="E76" i="18" s="1"/>
  <c r="H67" i="2"/>
  <c r="F66" i="18"/>
  <c r="E66" i="18" s="1"/>
  <c r="H79" i="2"/>
  <c r="F78" i="18"/>
  <c r="E78" i="18" s="1"/>
  <c r="H81" i="2"/>
  <c r="F80" i="18"/>
  <c r="E80" i="18" s="1"/>
  <c r="H74" i="2"/>
  <c r="F73" i="18"/>
  <c r="E73" i="18" s="1"/>
  <c r="H50" i="2"/>
  <c r="F49" i="18"/>
  <c r="E49" i="18" s="1"/>
  <c r="E72" i="18"/>
  <c r="G49" i="18" l="1"/>
  <c r="G80" i="18"/>
  <c r="G66" i="18"/>
  <c r="G81" i="18"/>
  <c r="G75" i="18"/>
  <c r="G71" i="18"/>
  <c r="G26" i="18"/>
  <c r="G47" i="18"/>
  <c r="G82" i="18"/>
  <c r="G60" i="18"/>
  <c r="G70" i="18"/>
  <c r="G65" i="18"/>
  <c r="G72" i="18"/>
  <c r="G76" i="18"/>
  <c r="G38" i="18"/>
  <c r="G77" i="18"/>
  <c r="G59" i="18"/>
  <c r="G79" i="18"/>
  <c r="G68" i="18"/>
  <c r="G20" i="18"/>
  <c r="G73" i="18"/>
  <c r="G78" i="18"/>
  <c r="G39" i="18"/>
  <c r="G24" i="18"/>
  <c r="G34" i="18"/>
  <c r="G69" i="18"/>
  <c r="G74" i="18"/>
  <c r="G29" i="18"/>
  <c r="G67" i="18"/>
  <c r="C3921" i="6" l="1"/>
  <c r="B3987" i="6" s="1"/>
  <c r="G3921" i="6"/>
  <c r="C3920" i="6"/>
  <c r="F3987" i="6" l="1"/>
  <c r="F3988" i="6"/>
  <c r="F62" i="2" s="1"/>
  <c r="G62" i="2" s="1"/>
  <c r="E3939" i="6"/>
  <c r="H62" i="2" l="1"/>
  <c r="F61" i="18"/>
  <c r="F28" i="2"/>
  <c r="G28" i="2" s="1"/>
  <c r="M28" i="2" s="1"/>
  <c r="F26" i="2"/>
  <c r="G26" i="2" s="1"/>
  <c r="F22" i="2"/>
  <c r="G22" i="2" s="1"/>
  <c r="F35" i="18" s="1"/>
  <c r="F18" i="2"/>
  <c r="G18" i="2" s="1"/>
  <c r="F19" i="18" s="1"/>
  <c r="F37" i="2"/>
  <c r="G37" i="2" s="1"/>
  <c r="M37" i="2" s="1"/>
  <c r="F31" i="2"/>
  <c r="G31" i="2" s="1"/>
  <c r="F49" i="2"/>
  <c r="G49" i="2" s="1"/>
  <c r="M49" i="2" s="1"/>
  <c r="F41" i="2"/>
  <c r="G41" i="2" s="1"/>
  <c r="E61" i="18" l="1"/>
  <c r="G61" i="18"/>
  <c r="E35" i="18"/>
  <c r="G35" i="18"/>
  <c r="H28" i="2"/>
  <c r="E19" i="18"/>
  <c r="G19" i="18"/>
  <c r="F17" i="18"/>
  <c r="M18" i="2"/>
  <c r="H18" i="2"/>
  <c r="F27" i="18"/>
  <c r="G27" i="18" s="1"/>
  <c r="F21" i="18"/>
  <c r="M22" i="2"/>
  <c r="H22" i="2"/>
  <c r="M26" i="2"/>
  <c r="H26" i="2"/>
  <c r="F25" i="18"/>
  <c r="M31" i="2"/>
  <c r="H31" i="2"/>
  <c r="F30" i="18"/>
  <c r="H37" i="2"/>
  <c r="F36" i="18"/>
  <c r="G36" i="18" s="1"/>
  <c r="F48" i="18"/>
  <c r="G48" i="18" s="1"/>
  <c r="H49" i="2"/>
  <c r="H41" i="2"/>
  <c r="M41" i="2"/>
  <c r="F40" i="18"/>
  <c r="E27" i="18" l="1"/>
  <c r="G21" i="18"/>
  <c r="E21" i="18"/>
  <c r="G25" i="18"/>
  <c r="E25" i="18"/>
  <c r="G17" i="18"/>
  <c r="E17" i="18"/>
  <c r="H85" i="2"/>
  <c r="I73" i="2" s="1"/>
  <c r="E36" i="18"/>
  <c r="E30" i="18"/>
  <c r="G30" i="18"/>
  <c r="G40" i="18"/>
  <c r="E40" i="18"/>
  <c r="E48" i="18"/>
  <c r="A98" i="2"/>
  <c r="B83" i="18" l="1"/>
  <c r="I17" i="2"/>
  <c r="D13" i="9" s="1"/>
  <c r="I24" i="2"/>
  <c r="D20" i="9" s="1"/>
  <c r="I52" i="2"/>
  <c r="D48" i="9" s="1"/>
  <c r="C231" i="6"/>
  <c r="I34" i="2"/>
  <c r="D30" i="9" s="1"/>
  <c r="I40" i="2"/>
  <c r="D36" i="9" s="1"/>
  <c r="I26" i="2"/>
  <c r="D22" i="9" s="1"/>
  <c r="I63" i="2"/>
  <c r="I83" i="2"/>
  <c r="D79" i="9" s="1"/>
  <c r="A169" i="18"/>
  <c r="I47" i="2"/>
  <c r="D43" i="9" s="1"/>
  <c r="I67" i="2"/>
  <c r="I41" i="2"/>
  <c r="I53" i="2"/>
  <c r="D49" i="9" s="1"/>
  <c r="I55" i="2"/>
  <c r="D51" i="9" s="1"/>
  <c r="H87" i="2"/>
  <c r="H88" i="2" s="1"/>
  <c r="H89" i="2" s="1"/>
  <c r="H91" i="2" s="1"/>
  <c r="I64" i="2"/>
  <c r="I29" i="2"/>
  <c r="D25" i="9" s="1"/>
  <c r="I50" i="2"/>
  <c r="D46" i="9" s="1"/>
  <c r="I51" i="2"/>
  <c r="D47" i="9" s="1"/>
  <c r="I60" i="2"/>
  <c r="I22" i="2"/>
  <c r="D18" i="9" s="1"/>
  <c r="I58" i="2"/>
  <c r="D54" i="9" s="1"/>
  <c r="I65" i="2"/>
  <c r="I30" i="2"/>
  <c r="D26" i="9" s="1"/>
  <c r="I57" i="2"/>
  <c r="D53" i="9" s="1"/>
  <c r="I42" i="2"/>
  <c r="I19" i="2"/>
  <c r="D15" i="9" s="1"/>
  <c r="I70" i="2"/>
  <c r="I79" i="2"/>
  <c r="D75" i="9" s="1"/>
  <c r="I66" i="2"/>
  <c r="I49" i="2"/>
  <c r="D45" i="9" s="1"/>
  <c r="I38" i="2"/>
  <c r="D34" i="9" s="1"/>
  <c r="I56" i="2"/>
  <c r="D52" i="9" s="1"/>
  <c r="H96" i="2"/>
  <c r="K96" i="2" s="1"/>
  <c r="I81" i="2"/>
  <c r="D77" i="9" s="1"/>
  <c r="I23" i="2"/>
  <c r="I37" i="2"/>
  <c r="C11" i="2"/>
  <c r="I74" i="2"/>
  <c r="D70" i="9" s="1"/>
  <c r="I78" i="2"/>
  <c r="I20" i="2"/>
  <c r="C906" i="6"/>
  <c r="C1581" i="6"/>
  <c r="C606" i="6"/>
  <c r="C1056" i="6"/>
  <c r="C456" i="6"/>
  <c r="C156" i="6"/>
  <c r="C2420" i="6"/>
  <c r="C2945" i="6"/>
  <c r="E86" i="9"/>
  <c r="E87" i="9" s="1"/>
  <c r="I25" i="2"/>
  <c r="I62" i="2"/>
  <c r="I44" i="2"/>
  <c r="D40" i="9" s="1"/>
  <c r="I71" i="2"/>
  <c r="D67" i="9" s="1"/>
  <c r="I36" i="2"/>
  <c r="D32" i="9" s="1"/>
  <c r="I80" i="2"/>
  <c r="D76" i="9" s="1"/>
  <c r="I21" i="2"/>
  <c r="D17" i="9" s="1"/>
  <c r="I75" i="2"/>
  <c r="D71" i="9" s="1"/>
  <c r="I69" i="2"/>
  <c r="D65" i="9" s="1"/>
  <c r="I27" i="2"/>
  <c r="D23" i="9" s="1"/>
  <c r="I35" i="2"/>
  <c r="D31" i="9" s="1"/>
  <c r="I43" i="2"/>
  <c r="D39" i="9" s="1"/>
  <c r="I82" i="2"/>
  <c r="D78" i="9" s="1"/>
  <c r="I33" i="2"/>
  <c r="D29" i="9" s="1"/>
  <c r="I45" i="2"/>
  <c r="D41" i="9" s="1"/>
  <c r="I28" i="2"/>
  <c r="D24" i="9" s="1"/>
  <c r="I59" i="2"/>
  <c r="D55" i="9" s="1"/>
  <c r="I31" i="2"/>
  <c r="D27" i="9" s="1"/>
  <c r="I18" i="2"/>
  <c r="D14" i="9" s="1"/>
  <c r="I32" i="2"/>
  <c r="D28" i="9" s="1"/>
  <c r="I46" i="2"/>
  <c r="D42" i="9" s="1"/>
  <c r="I39" i="2"/>
  <c r="I54" i="2"/>
  <c r="D50" i="9" s="1"/>
  <c r="I76" i="2"/>
  <c r="D72" i="9" s="1"/>
  <c r="I48" i="2"/>
  <c r="D44" i="9" s="1"/>
  <c r="I72" i="2"/>
  <c r="D68" i="9" s="1"/>
  <c r="I61" i="2"/>
  <c r="D57" i="9" s="1"/>
  <c r="I77" i="2"/>
  <c r="D73" i="9" s="1"/>
  <c r="I68" i="2"/>
  <c r="D64" i="9" s="1"/>
  <c r="C306" i="6"/>
  <c r="C381" i="6"/>
  <c r="C531" i="6"/>
  <c r="B93" i="18"/>
  <c r="D114" i="18"/>
  <c r="B135" i="18"/>
  <c r="C158" i="18"/>
  <c r="F113" i="18"/>
  <c r="E113" i="18" s="1"/>
  <c r="B101" i="18"/>
  <c r="D122" i="18"/>
  <c r="C144" i="18"/>
  <c r="C165" i="18"/>
  <c r="C92" i="18"/>
  <c r="B113" i="18"/>
  <c r="D135" i="18"/>
  <c r="C156" i="18"/>
  <c r="C91" i="18"/>
  <c r="C112" i="18"/>
  <c r="C134" i="18"/>
  <c r="C155" i="18"/>
  <c r="F124" i="18"/>
  <c r="E124" i="18" s="1"/>
  <c r="C94" i="18"/>
  <c r="D115" i="18"/>
  <c r="D137" i="18"/>
  <c r="B158" i="18"/>
  <c r="F100" i="18"/>
  <c r="E100" i="18" s="1"/>
  <c r="C102" i="18"/>
  <c r="C124" i="18"/>
  <c r="C145" i="18"/>
  <c r="F149" i="18"/>
  <c r="E149" i="18" s="1"/>
  <c r="C93" i="18"/>
  <c r="B115" i="18"/>
  <c r="B136" i="18"/>
  <c r="C157" i="18"/>
  <c r="B92" i="18"/>
  <c r="B114" i="18"/>
  <c r="C135" i="18"/>
  <c r="D156" i="18"/>
  <c r="F125" i="18"/>
  <c r="E125" i="18" s="1"/>
  <c r="F122" i="18"/>
  <c r="E122" i="18" s="1"/>
  <c r="B90" i="18"/>
  <c r="D111" i="18"/>
  <c r="B133" i="18"/>
  <c r="C154" i="18"/>
  <c r="F158" i="18"/>
  <c r="E158" i="18" s="1"/>
  <c r="D98" i="18"/>
  <c r="B120" i="18"/>
  <c r="B141" i="18"/>
  <c r="B162" i="18"/>
  <c r="D89" i="18"/>
  <c r="B111" i="18"/>
  <c r="D132" i="18"/>
  <c r="C153" i="18"/>
  <c r="C88" i="18"/>
  <c r="B110" i="18"/>
  <c r="C131" i="18"/>
  <c r="C152" i="18"/>
  <c r="F121" i="18"/>
  <c r="E121" i="18" s="1"/>
  <c r="F137" i="18"/>
  <c r="E137" i="18" s="1"/>
  <c r="C81" i="6"/>
  <c r="B102" i="18"/>
  <c r="D123" i="18"/>
  <c r="B145" i="18"/>
  <c r="F117" i="18"/>
  <c r="E117" i="18" s="1"/>
  <c r="C89" i="18"/>
  <c r="D110" i="18"/>
  <c r="C132" i="18"/>
  <c r="D153" i="18"/>
  <c r="F123" i="18"/>
  <c r="E123" i="18" s="1"/>
  <c r="C101" i="18"/>
  <c r="C123" i="18"/>
  <c r="B144" i="18"/>
  <c r="B165" i="18"/>
  <c r="D100" i="18"/>
  <c r="G100" i="18" s="1"/>
  <c r="B122" i="18"/>
  <c r="B143" i="18"/>
  <c r="F87" i="18"/>
  <c r="E87" i="18" s="1"/>
  <c r="F98" i="18"/>
  <c r="E98" i="18" s="1"/>
  <c r="F131" i="18"/>
  <c r="E131" i="18" s="1"/>
  <c r="F89" i="18"/>
  <c r="E89" i="18" s="1"/>
  <c r="F140" i="18"/>
  <c r="E140" i="18" s="1"/>
  <c r="F114" i="18"/>
  <c r="E114" i="18" s="1"/>
  <c r="F106" i="18"/>
  <c r="E106" i="18" s="1"/>
  <c r="D159" i="18"/>
  <c r="F164" i="18"/>
  <c r="E164" i="18" s="1"/>
  <c r="F156" i="18"/>
  <c r="E156" i="18" s="1"/>
  <c r="F85" i="18"/>
  <c r="E85" i="18" s="1"/>
  <c r="C831" i="6"/>
  <c r="C981" i="6"/>
  <c r="B98" i="18"/>
  <c r="D119" i="18"/>
  <c r="D141" i="18"/>
  <c r="C162" i="18"/>
  <c r="C85" i="18"/>
  <c r="B106" i="18"/>
  <c r="C128" i="18"/>
  <c r="C149" i="18"/>
  <c r="F88" i="18"/>
  <c r="E88" i="18" s="1"/>
  <c r="C97" i="18"/>
  <c r="B119" i="18"/>
  <c r="D140" i="18"/>
  <c r="G140" i="18" s="1"/>
  <c r="C161" i="18"/>
  <c r="B96" i="18"/>
  <c r="D118" i="18"/>
  <c r="B139" i="18"/>
  <c r="D160" i="18"/>
  <c r="F134" i="18"/>
  <c r="E134" i="18" s="1"/>
  <c r="D99" i="18"/>
  <c r="C121" i="18"/>
  <c r="C142" i="18"/>
  <c r="B163" i="18"/>
  <c r="C86" i="18"/>
  <c r="C108" i="18"/>
  <c r="D129" i="18"/>
  <c r="C150" i="18"/>
  <c r="F136" i="18"/>
  <c r="E136" i="18" s="1"/>
  <c r="C99" i="18"/>
  <c r="D120" i="18"/>
  <c r="C141" i="18"/>
  <c r="C163" i="18"/>
  <c r="C98" i="18"/>
  <c r="C119" i="18"/>
  <c r="B140" i="18"/>
  <c r="D162" i="18"/>
  <c r="F96" i="18"/>
  <c r="E96" i="18" s="1"/>
  <c r="C2870" i="6"/>
  <c r="D95" i="18"/>
  <c r="D116" i="18"/>
  <c r="D138" i="18"/>
  <c r="C159" i="18"/>
  <c r="C104" i="18"/>
  <c r="B125" i="18"/>
  <c r="D146" i="18"/>
  <c r="F151" i="18"/>
  <c r="E151" i="18" s="1"/>
  <c r="B94" i="18"/>
  <c r="C116" i="18"/>
  <c r="C137" i="18"/>
  <c r="B159" i="18"/>
  <c r="D94" i="18"/>
  <c r="C115" i="18"/>
  <c r="C136" i="18"/>
  <c r="D157" i="18"/>
  <c r="F108" i="18"/>
  <c r="E108" i="18" s="1"/>
  <c r="F99" i="18"/>
  <c r="E99" i="18" s="1"/>
  <c r="B87" i="18"/>
  <c r="D107" i="18"/>
  <c r="B129" i="18"/>
  <c r="D150" i="18"/>
  <c r="F126" i="18"/>
  <c r="E126" i="18" s="1"/>
  <c r="B95" i="18"/>
  <c r="B116" i="18"/>
  <c r="B137" i="18"/>
  <c r="D158" i="18"/>
  <c r="D85" i="18"/>
  <c r="B107" i="18"/>
  <c r="B128" i="18"/>
  <c r="B149" i="18"/>
  <c r="B84" i="18"/>
  <c r="D106" i="18"/>
  <c r="D127" i="18"/>
  <c r="D164" i="18"/>
  <c r="F105" i="18"/>
  <c r="E105" i="18" s="1"/>
  <c r="F129" i="18"/>
  <c r="E129" i="18" s="1"/>
  <c r="F146" i="18"/>
  <c r="E146" i="18" s="1"/>
  <c r="F143" i="18"/>
  <c r="E143" i="18" s="1"/>
  <c r="B154" i="18"/>
  <c r="F90" i="18"/>
  <c r="E90" i="18" s="1"/>
  <c r="F155" i="18"/>
  <c r="E155" i="18" s="1"/>
  <c r="F130" i="18"/>
  <c r="E130" i="18" s="1"/>
  <c r="F84" i="18"/>
  <c r="E84" i="18" s="1"/>
  <c r="F119" i="18"/>
  <c r="E119" i="18" s="1"/>
  <c r="C1506" i="6"/>
  <c r="C2345" i="6"/>
  <c r="C103" i="18"/>
  <c r="D125" i="18"/>
  <c r="B146" i="18"/>
  <c r="F159" i="18"/>
  <c r="E159" i="18" s="1"/>
  <c r="D90" i="18"/>
  <c r="B112" i="18"/>
  <c r="D133" i="18"/>
  <c r="D154" i="18"/>
  <c r="F97" i="18"/>
  <c r="E97" i="18" s="1"/>
  <c r="B103" i="18"/>
  <c r="D124" i="18"/>
  <c r="G124" i="18" s="1"/>
  <c r="D145" i="18"/>
  <c r="F120" i="18"/>
  <c r="E120" i="18" s="1"/>
  <c r="D102" i="18"/>
  <c r="B123" i="18"/>
  <c r="D144" i="18"/>
  <c r="F95" i="18"/>
  <c r="E95" i="18" s="1"/>
  <c r="D83" i="18"/>
  <c r="B105" i="18"/>
  <c r="C126" i="18"/>
  <c r="B147" i="18"/>
  <c r="F93" i="18"/>
  <c r="E93" i="18" s="1"/>
  <c r="D92" i="18"/>
  <c r="C113" i="18"/>
  <c r="D134" i="18"/>
  <c r="B156" i="18"/>
  <c r="F83" i="18"/>
  <c r="E83" i="18" s="1"/>
  <c r="D104" i="18"/>
  <c r="C125" i="18"/>
  <c r="D147" i="18"/>
  <c r="F133" i="18"/>
  <c r="E133" i="18" s="1"/>
  <c r="D103" i="18"/>
  <c r="B124" i="18"/>
  <c r="C146" i="18"/>
  <c r="F142" i="18"/>
  <c r="E142" i="18" s="1"/>
  <c r="F161" i="18"/>
  <c r="E161" i="18" s="1"/>
  <c r="C6" i="6"/>
  <c r="D101" i="18"/>
  <c r="C122" i="18"/>
  <c r="C143" i="18"/>
  <c r="D165" i="18"/>
  <c r="B89" i="18"/>
  <c r="C109" i="18"/>
  <c r="D130" i="18"/>
  <c r="G130" i="18" s="1"/>
  <c r="B152" i="18"/>
  <c r="F157" i="18"/>
  <c r="E157" i="18" s="1"/>
  <c r="C100" i="18"/>
  <c r="D121" i="18"/>
  <c r="D143" i="18"/>
  <c r="B164" i="18"/>
  <c r="B99" i="18"/>
  <c r="C120" i="18"/>
  <c r="B142" i="18"/>
  <c r="D163" i="18"/>
  <c r="F86" i="18"/>
  <c r="E86" i="18" s="1"/>
  <c r="F102" i="18"/>
  <c r="E102" i="18" s="1"/>
  <c r="D91" i="18"/>
  <c r="D113" i="18"/>
  <c r="G113" i="18" s="1"/>
  <c r="B134" i="18"/>
  <c r="B155" i="18"/>
  <c r="F115" i="18"/>
  <c r="E115" i="18" s="1"/>
  <c r="B100" i="18"/>
  <c r="B121" i="18"/>
  <c r="D142" i="18"/>
  <c r="C164" i="18"/>
  <c r="B91" i="18"/>
  <c r="D112" i="18"/>
  <c r="C133" i="18"/>
  <c r="D155" i="18"/>
  <c r="C90" i="18"/>
  <c r="C111" i="18"/>
  <c r="B132" i="18"/>
  <c r="F112" i="18"/>
  <c r="E112" i="18" s="1"/>
  <c r="F135" i="18"/>
  <c r="E135" i="18" s="1"/>
  <c r="F110" i="18"/>
  <c r="E110" i="18" s="1"/>
  <c r="F153" i="18"/>
  <c r="E153" i="18" s="1"/>
  <c r="F101" i="18"/>
  <c r="E101" i="18" s="1"/>
  <c r="F139" i="18"/>
  <c r="E139" i="18" s="1"/>
  <c r="F150" i="18"/>
  <c r="E150" i="18" s="1"/>
  <c r="F116" i="18"/>
  <c r="E116" i="18" s="1"/>
  <c r="D87" i="18"/>
  <c r="B109" i="18"/>
  <c r="B130" i="18"/>
  <c r="B151" i="18"/>
  <c r="F144" i="18"/>
  <c r="E144" i="18" s="1"/>
  <c r="C96" i="18"/>
  <c r="B117" i="18"/>
  <c r="C138" i="18"/>
  <c r="B160" i="18"/>
  <c r="B86" i="18"/>
  <c r="B108" i="18"/>
  <c r="C129" i="18"/>
  <c r="D151" i="18"/>
  <c r="G151" i="18" s="1"/>
  <c r="D86" i="18"/>
  <c r="C107" i="18"/>
  <c r="D128" i="18"/>
  <c r="B150" i="18"/>
  <c r="F91" i="18"/>
  <c r="E91" i="18" s="1"/>
  <c r="D88" i="18"/>
  <c r="C110" i="18"/>
  <c r="D131" i="18"/>
  <c r="B153" i="18"/>
  <c r="F94" i="18"/>
  <c r="E94" i="18" s="1"/>
  <c r="D97" i="18"/>
  <c r="B118" i="18"/>
  <c r="C140" i="18"/>
  <c r="D161" i="18"/>
  <c r="B88" i="18"/>
  <c r="D109" i="18"/>
  <c r="B131" i="18"/>
  <c r="D152" i="18"/>
  <c r="C87" i="18"/>
  <c r="D108" i="18"/>
  <c r="C130" i="18"/>
  <c r="C151" i="18"/>
  <c r="F109" i="18"/>
  <c r="E109" i="18" s="1"/>
  <c r="F152" i="18"/>
  <c r="E152" i="18" s="1"/>
  <c r="B85" i="18"/>
  <c r="C106" i="18"/>
  <c r="B127" i="18"/>
  <c r="D149" i="18"/>
  <c r="F163" i="18"/>
  <c r="E163" i="18" s="1"/>
  <c r="D93" i="18"/>
  <c r="C114" i="18"/>
  <c r="D136" i="18"/>
  <c r="B157" i="18"/>
  <c r="D84" i="18"/>
  <c r="D105" i="18"/>
  <c r="C127" i="18"/>
  <c r="D148" i="18"/>
  <c r="C83" i="18"/>
  <c r="B104" i="18"/>
  <c r="B126" i="18"/>
  <c r="C147" i="18"/>
  <c r="F107" i="18"/>
  <c r="E107" i="18" s="1"/>
  <c r="F145" i="18"/>
  <c r="E145" i="18" s="1"/>
  <c r="F162" i="18"/>
  <c r="E162" i="18" s="1"/>
  <c r="B97" i="18"/>
  <c r="C118" i="18"/>
  <c r="C139" i="18"/>
  <c r="B161" i="18"/>
  <c r="C84" i="18"/>
  <c r="C105" i="18"/>
  <c r="D126" i="18"/>
  <c r="G126" i="18" s="1"/>
  <c r="B148" i="18"/>
  <c r="F128" i="18"/>
  <c r="E128" i="18" s="1"/>
  <c r="D96" i="18"/>
  <c r="G96" i="18" s="1"/>
  <c r="C117" i="18"/>
  <c r="D139" i="18"/>
  <c r="C160" i="18"/>
  <c r="C95" i="18"/>
  <c r="D117" i="18"/>
  <c r="B138" i="18"/>
  <c r="F103" i="18"/>
  <c r="E103" i="18" s="1"/>
  <c r="F111" i="18"/>
  <c r="E111" i="18" s="1"/>
  <c r="C148" i="18"/>
  <c r="F141" i="18"/>
  <c r="E141" i="18" s="1"/>
  <c r="F92" i="18"/>
  <c r="E92" i="18" s="1"/>
  <c r="F160" i="18"/>
  <c r="E160" i="18" s="1"/>
  <c r="F165" i="18"/>
  <c r="E165" i="18" s="1"/>
  <c r="F147" i="18"/>
  <c r="E147" i="18" s="1"/>
  <c r="F118" i="18"/>
  <c r="E118" i="18" s="1"/>
  <c r="F138" i="18"/>
  <c r="E138" i="18" s="1"/>
  <c r="F104" i="18"/>
  <c r="E104" i="18" s="1"/>
  <c r="F154" i="18"/>
  <c r="E154" i="18" s="1"/>
  <c r="F132" i="18"/>
  <c r="E132" i="18" s="1"/>
  <c r="F127" i="18"/>
  <c r="E127" i="18" s="1"/>
  <c r="F148" i="18"/>
  <c r="E148" i="18" s="1"/>
  <c r="G121" i="18" l="1"/>
  <c r="G131" i="18"/>
  <c r="G134" i="18"/>
  <c r="G85" i="18"/>
  <c r="D74" i="9"/>
  <c r="D58" i="9"/>
  <c r="D69" i="9"/>
  <c r="D66" i="9"/>
  <c r="D61" i="9"/>
  <c r="D63" i="9"/>
  <c r="D62" i="9"/>
  <c r="D60" i="9"/>
  <c r="D59" i="9"/>
  <c r="D56" i="9"/>
  <c r="D38" i="9"/>
  <c r="D37" i="9"/>
  <c r="H90" i="2"/>
  <c r="H92" i="2" s="1"/>
  <c r="H93" i="2" s="1"/>
  <c r="D35" i="9"/>
  <c r="G164" i="18"/>
  <c r="G158" i="18"/>
  <c r="G133" i="18"/>
  <c r="G150" i="18"/>
  <c r="D33" i="9"/>
  <c r="G86" i="18"/>
  <c r="G107" i="18"/>
  <c r="G87" i="18"/>
  <c r="G155" i="18"/>
  <c r="G83" i="18"/>
  <c r="G138" i="18"/>
  <c r="G142" i="18"/>
  <c r="D19" i="9"/>
  <c r="G84" i="18"/>
  <c r="G101" i="18"/>
  <c r="G99" i="18"/>
  <c r="G118" i="18"/>
  <c r="G137" i="18"/>
  <c r="G139" i="18"/>
  <c r="G136" i="18"/>
  <c r="G108" i="18"/>
  <c r="G90" i="18"/>
  <c r="G160" i="18"/>
  <c r="G127" i="18"/>
  <c r="G117" i="18"/>
  <c r="G89" i="18"/>
  <c r="G93" i="18"/>
  <c r="G161" i="18"/>
  <c r="D21" i="9"/>
  <c r="D16" i="9"/>
  <c r="G92" i="18"/>
  <c r="G153" i="18"/>
  <c r="G114" i="18"/>
  <c r="G146" i="18"/>
  <c r="G123" i="18"/>
  <c r="G122" i="18"/>
  <c r="G165" i="18"/>
  <c r="G157" i="18"/>
  <c r="G119" i="18"/>
  <c r="G115" i="18"/>
  <c r="G135" i="18"/>
  <c r="G105" i="18"/>
  <c r="G97" i="18"/>
  <c r="G128" i="18"/>
  <c r="G103" i="18"/>
  <c r="G104" i="18"/>
  <c r="G145" i="18"/>
  <c r="G154" i="18"/>
  <c r="G129" i="18"/>
  <c r="G110" i="18"/>
  <c r="G98" i="18"/>
  <c r="G111" i="18"/>
  <c r="G156" i="18"/>
  <c r="G125" i="18"/>
  <c r="G112" i="18"/>
  <c r="G152" i="18"/>
  <c r="G106" i="18"/>
  <c r="G109" i="18"/>
  <c r="G132" i="18"/>
  <c r="G88" i="18"/>
  <c r="G102" i="18"/>
  <c r="G143" i="18"/>
  <c r="I85" i="2"/>
  <c r="G148" i="18"/>
  <c r="G116" i="18"/>
  <c r="G149" i="18"/>
  <c r="G147" i="18"/>
  <c r="G162" i="18"/>
  <c r="G141" i="18"/>
  <c r="G144" i="18"/>
  <c r="G120" i="18"/>
  <c r="G163" i="18"/>
  <c r="G94" i="18"/>
  <c r="G159" i="18"/>
  <c r="G91" i="18"/>
  <c r="G95" i="18"/>
  <c r="G167" i="18" l="1"/>
  <c r="G83" i="9"/>
  <c r="G86" i="9" s="1"/>
  <c r="W83" i="9"/>
  <c r="W86" i="9" s="1"/>
  <c r="V83" i="9"/>
  <c r="V86" i="9" s="1"/>
  <c r="S83" i="9"/>
  <c r="S86" i="9" s="1"/>
  <c r="H83" i="9"/>
  <c r="H86" i="9" s="1"/>
  <c r="N83" i="9"/>
  <c r="N86" i="9" s="1"/>
  <c r="M83" i="9"/>
  <c r="M86" i="9" s="1"/>
  <c r="D81" i="9"/>
  <c r="F83" i="9"/>
  <c r="F86" i="9" s="1"/>
  <c r="F87" i="9" s="1"/>
  <c r="Q83" i="9"/>
  <c r="Q86" i="9" s="1"/>
  <c r="I83" i="9"/>
  <c r="I86" i="9" s="1"/>
  <c r="O83" i="9"/>
  <c r="O86" i="9" s="1"/>
  <c r="T83" i="9"/>
  <c r="T86" i="9" s="1"/>
  <c r="L83" i="9"/>
  <c r="L86" i="9" s="1"/>
  <c r="R83" i="9"/>
  <c r="R86" i="9" s="1"/>
  <c r="H94" i="2"/>
  <c r="P83" i="9"/>
  <c r="P86" i="9" s="1"/>
  <c r="J83" i="9"/>
  <c r="J86" i="9" s="1"/>
  <c r="K83" i="9"/>
  <c r="K86" i="9" s="1"/>
  <c r="U83" i="9"/>
  <c r="U86" i="9" s="1"/>
  <c r="G87" i="9" l="1"/>
  <c r="H87" i="9" s="1"/>
  <c r="I87" i="9" s="1"/>
  <c r="J87" i="9" s="1"/>
  <c r="K87" i="9" s="1"/>
  <c r="L87" i="9" s="1"/>
  <c r="M87" i="9" s="1"/>
  <c r="N87" i="9" s="1"/>
  <c r="O87" i="9" s="1"/>
  <c r="P87" i="9" s="1"/>
  <c r="Q87" i="9" s="1"/>
  <c r="R87" i="9" s="1"/>
  <c r="S87" i="9" s="1"/>
  <c r="T87" i="9" s="1"/>
  <c r="U87" i="9" s="1"/>
  <c r="V87" i="9" s="1"/>
  <c r="W87" i="9" s="1"/>
  <c r="F84" i="9"/>
  <c r="G84" i="9" s="1"/>
  <c r="H84" i="9" s="1"/>
  <c r="I84" i="9" s="1"/>
  <c r="J84" i="9" s="1"/>
  <c r="K84" i="9" s="1"/>
  <c r="L84" i="9" s="1"/>
  <c r="M84" i="9" s="1"/>
  <c r="N84" i="9" s="1"/>
  <c r="O84" i="9" s="1"/>
  <c r="P84" i="9" s="1"/>
  <c r="Q84" i="9" s="1"/>
  <c r="R84" i="9" s="1"/>
  <c r="S84" i="9" s="1"/>
  <c r="T84" i="9" s="1"/>
  <c r="U84" i="9" s="1"/>
  <c r="V84" i="9" s="1"/>
  <c r="W84" i="9" s="1"/>
</calcChain>
</file>

<file path=xl/comments1.xml><?xml version="1.0" encoding="utf-8"?>
<comments xmlns="http://schemas.openxmlformats.org/spreadsheetml/2006/main">
  <authors>
    <author>Secretaria Servicios</author>
  </authors>
  <commentList>
    <comment ref="C30"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<sst xmlns="http://schemas.openxmlformats.org/spreadsheetml/2006/main" count="8184" uniqueCount="2211">
  <si>
    <t>DESIGNACION</t>
  </si>
  <si>
    <t>UN.</t>
  </si>
  <si>
    <t>CANT.</t>
  </si>
  <si>
    <t xml:space="preserve">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</si>
  <si>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</si>
  <si>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</si>
  <si>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</si>
  <si>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</si>
  <si>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</si>
  <si>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</si>
  <si>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</si>
  <si>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</si>
  <si>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</si>
  <si>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</si>
  <si>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</si>
  <si>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</si>
  <si>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</si>
  <si>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</si>
  <si>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</si>
  <si>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</si>
  <si>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</si>
  <si>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</si>
  <si>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</si>
  <si>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</si>
  <si>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</si>
  <si>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</si>
  <si>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</si>
  <si>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</si>
  <si>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</si>
  <si>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</si>
  <si>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</si>
  <si>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</si>
  <si>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</si>
  <si>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</si>
  <si>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</si>
  <si>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</si>
  <si>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</si>
  <si>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</si>
  <si>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</si>
  <si>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</si>
  <si>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</si>
  <si>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</si>
  <si>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</si>
  <si>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</si>
  <si>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</si>
  <si>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</si>
  <si>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</si>
  <si>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</si>
  <si>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</si>
  <si>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</si>
  <si>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</si>
  <si>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</si>
  <si>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</si>
  <si>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</si>
  <si>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</si>
  <si>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</si>
  <si>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</si>
  <si>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</si>
  <si>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</si>
  <si>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</si>
  <si>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</si>
  <si>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</si>
  <si>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</si>
  <si>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</si>
  <si>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</si>
  <si>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</si>
  <si>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</si>
  <si>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</si>
  <si>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</si>
  <si>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</si>
  <si>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</si>
  <si>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</si>
  <si>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</si>
  <si>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</si>
  <si>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</si>
  <si>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</si>
  <si>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</si>
  <si>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</si>
  <si>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</si>
  <si>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</si>
  <si>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</si>
  <si>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</si>
  <si>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</si>
  <si>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</si>
  <si>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</si>
  <si>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</si>
  <si>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</si>
  <si>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</si>
  <si>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</si>
  <si>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</si>
  <si>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</si>
  <si>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</si>
  <si>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</si>
  <si>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</si>
  <si>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</si>
  <si>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</si>
  <si>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</si>
  <si>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</si>
  <si>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</si>
  <si>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</si>
  <si>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</si>
  <si>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</si>
  <si>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</si>
  <si>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</si>
  <si>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</si>
  <si>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</si>
  <si>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</si>
  <si>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</si>
  <si>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</si>
  <si>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</si>
  <si>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</si>
  <si>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</si>
  <si>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</si>
  <si>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</si>
  <si>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</si>
  <si>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</si>
  <si>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</si>
  <si>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</si>
  <si>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</si>
  <si>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</si>
  <si>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</si>
  <si>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</si>
  <si>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</si>
  <si>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</si>
  <si>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</si>
  <si>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</si>
  <si>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</si>
  <si>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</si>
  <si>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</si>
  <si>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</si>
  <si>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</si>
  <si>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</si>
  <si>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</si>
  <si>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</si>
  <si>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</si>
  <si>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</si>
  <si>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</si>
  <si>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</si>
  <si>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</si>
  <si>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</si>
  <si>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</si>
  <si>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</si>
  <si>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</si>
  <si>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</si>
  <si>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</si>
  <si>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</si>
  <si>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</si>
  <si>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</si>
  <si>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</si>
  <si>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</si>
  <si>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</si>
  <si>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</si>
  <si>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</si>
  <si>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</si>
  <si>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</si>
  <si>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</si>
  <si>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</si>
  <si>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</si>
  <si>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</si>
  <si>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</si>
  <si>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</si>
  <si>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</si>
  <si>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</si>
  <si>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</si>
  <si>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</si>
  <si>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</si>
  <si>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</si>
  <si>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</si>
  <si>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</si>
  <si>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</si>
  <si>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</si>
  <si>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</si>
  <si>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</si>
  <si>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</si>
  <si>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</si>
  <si>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</si>
  <si>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</si>
  <si>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</si>
  <si>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</si>
  <si>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</si>
  <si>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</si>
  <si>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</si>
  <si>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</si>
  <si>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</si>
  <si>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</si>
  <si>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</si>
  <si>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</si>
  <si>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</si>
  <si>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</si>
  <si>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</si>
  <si>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</si>
  <si>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</si>
  <si>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</si>
  <si>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</si>
  <si>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</si>
  <si>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</si>
  <si>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</si>
  <si>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</si>
  <si>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</si>
  <si>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</si>
  <si>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</si>
  <si>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</si>
  <si>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</si>
  <si>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</si>
  <si>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</si>
  <si>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</si>
  <si>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</si>
  <si>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</si>
  <si>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</si>
  <si>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</si>
  <si>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</si>
  <si>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</si>
  <si>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</si>
  <si>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</si>
  <si>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</si>
  <si>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</si>
  <si>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</si>
  <si>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</si>
  <si>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</si>
  <si>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</si>
  <si>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</si>
  <si>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</si>
  <si>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</si>
  <si>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</si>
  <si>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</si>
  <si>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</si>
  <si>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</si>
  <si>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</si>
  <si>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</si>
  <si>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</si>
  <si>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</si>
  <si>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</si>
  <si>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</si>
  <si>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</si>
  <si>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</si>
  <si>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</si>
  <si>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</si>
  <si>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</si>
  <si>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</si>
  <si>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</si>
  <si>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</si>
  <si>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</si>
  <si>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</si>
  <si>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</si>
  <si>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</si>
  <si>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</si>
  <si>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</si>
  <si>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</si>
  <si>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</si>
  <si>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</si>
  <si>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</si>
  <si>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</si>
  <si>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</si>
  <si>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</si>
  <si>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</si>
  <si>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</si>
  <si>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</si>
  <si>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</si>
  <si>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</si>
  <si>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</si>
  <si>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</si>
  <si>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</si>
  <si>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</si>
  <si>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</si>
  <si>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</si>
  <si>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</si>
  <si>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</si>
  <si>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</si>
  <si>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</si>
  <si>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</si>
  <si>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</si>
  <si>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</si>
  <si>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</si>
  <si>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</si>
  <si>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</si>
  <si>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</si>
  <si>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</si>
  <si>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</si>
  <si>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</si>
  <si>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</si>
  <si>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</si>
  <si>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</si>
  <si>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</si>
  <si>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</si>
  <si>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</si>
  <si>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</si>
  <si>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</si>
  <si>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</si>
  <si>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</si>
  <si>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</si>
  <si>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</si>
  <si>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</si>
  <si>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</si>
  <si>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</si>
  <si>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</si>
  <si>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</si>
  <si>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</si>
  <si>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</si>
  <si>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</si>
  <si>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</si>
  <si>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</si>
  <si>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</si>
  <si>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</si>
  <si>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</si>
  <si>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</si>
  <si>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</si>
  <si>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</si>
  <si>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</si>
  <si>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</si>
  <si>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</si>
  <si>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</si>
  <si>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</si>
  <si>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</si>
  <si>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</si>
  <si>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</si>
  <si>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</si>
  <si>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</si>
  <si>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</si>
  <si>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</si>
  <si>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</si>
  <si>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</si>
  <si>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</si>
  <si>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</si>
  <si>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</si>
  <si>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</si>
  <si>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</si>
  <si>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</si>
  <si>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</si>
  <si>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</si>
  <si>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</si>
  <si>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</si>
  <si>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</si>
  <si>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</si>
  <si>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</si>
  <si>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</si>
  <si>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</si>
  <si>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</si>
  <si>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</si>
  <si>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</si>
  <si>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</si>
  <si>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</si>
  <si>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</si>
  <si>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</si>
  <si>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</si>
  <si>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</si>
  <si>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</si>
  <si>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</si>
  <si>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</si>
  <si>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</si>
  <si>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</si>
  <si>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</si>
  <si>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</si>
  <si>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</si>
  <si>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</si>
  <si>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</si>
  <si>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</si>
  <si>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</si>
  <si>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</si>
  <si>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</si>
  <si>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</si>
  <si>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</si>
  <si>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</si>
  <si>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</si>
  <si>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</si>
  <si>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</si>
  <si>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</si>
  <si>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</si>
  <si>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</si>
  <si>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</si>
  <si>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</si>
  <si>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</si>
  <si>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</si>
  <si>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</si>
  <si>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</si>
  <si>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</si>
  <si>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</si>
  <si>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</si>
  <si>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</si>
  <si>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</si>
  <si>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</si>
  <si>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</si>
  <si>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</si>
  <si>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</si>
  <si>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</si>
  <si>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</si>
  <si>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</si>
  <si>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</si>
  <si>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</si>
  <si>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</si>
  <si>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</si>
  <si>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</si>
  <si>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</si>
  <si>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</si>
  <si>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</si>
  <si>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</si>
  <si>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</si>
  <si>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</si>
  <si>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</si>
  <si>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</si>
  <si>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</si>
  <si>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</si>
  <si>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</si>
  <si>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</si>
  <si>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</si>
  <si>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</si>
  <si>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</si>
  <si>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</si>
  <si>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</si>
  <si>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</si>
  <si>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</si>
  <si>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</si>
  <si>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</si>
  <si>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</si>
  <si>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</si>
  <si>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</si>
  <si>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</si>
  <si>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</si>
  <si>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</si>
  <si>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</si>
  <si>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</si>
  <si>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</si>
  <si>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</si>
  <si>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</si>
  <si>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</si>
  <si>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</si>
  <si>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</si>
  <si>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</si>
  <si>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</si>
  <si>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</si>
  <si>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</si>
  <si>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</si>
  <si>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</si>
  <si>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</si>
  <si>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</si>
  <si>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</si>
  <si>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</si>
  <si>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</si>
  <si>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</si>
  <si>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</si>
  <si>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</si>
  <si>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</si>
  <si>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</si>
  <si>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</si>
  <si>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</si>
  <si>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</si>
  <si>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</si>
  <si>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</si>
  <si>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</si>
  <si>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</si>
  <si>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</si>
  <si>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</si>
  <si>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</si>
  <si>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</si>
  <si>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</si>
  <si>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</si>
  <si>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</si>
  <si>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</si>
  <si>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</si>
  <si>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</si>
  <si>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</si>
  <si>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</si>
  <si>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</si>
  <si>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</si>
  <si>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</si>
  <si>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</si>
  <si>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</si>
  <si>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</si>
  <si>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</si>
  <si>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</si>
  <si>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</si>
  <si>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</si>
  <si>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</si>
  <si>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</si>
  <si>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</si>
  <si>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</si>
  <si>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</si>
  <si>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</si>
  <si>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</si>
  <si>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</si>
  <si>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</si>
  <si>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</si>
  <si>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</si>
  <si>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</si>
  <si>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</si>
  <si>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</si>
  <si>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</si>
  <si>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</si>
  <si>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</si>
  <si>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</si>
  <si>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</si>
  <si>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</si>
  <si>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</si>
  <si>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</si>
  <si>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</si>
  <si>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</si>
  <si>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</si>
  <si>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</si>
  <si>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</si>
  <si>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</si>
  <si>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</si>
  <si>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</si>
  <si>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</si>
  <si>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</si>
  <si>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</si>
  <si>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</si>
  <si>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</si>
  <si>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</si>
  <si>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</si>
  <si>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</si>
  <si>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</si>
  <si>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</si>
  <si>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</si>
  <si>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</si>
  <si>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</si>
  <si>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</si>
  <si>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</si>
  <si>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</si>
  <si>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</si>
  <si>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</si>
  <si>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</si>
  <si>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</si>
  <si>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</si>
  <si>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</si>
  <si>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</si>
  <si>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</si>
  <si>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</si>
  <si>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</si>
  <si>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</si>
  <si>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</si>
  <si>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</si>
  <si>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</si>
  <si>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</si>
  <si>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</si>
  <si>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</si>
  <si>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</si>
  <si>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</si>
  <si>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</si>
  <si>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</si>
  <si>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</si>
  <si>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</si>
  <si>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</si>
  <si>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</si>
  <si>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</si>
  <si>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</si>
  <si>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</si>
  <si>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</si>
  <si>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</si>
  <si>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</si>
  <si>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</si>
  <si>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</si>
  <si>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</si>
  <si>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</si>
  <si>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</si>
  <si>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</si>
  <si>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</si>
  <si>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</si>
  <si>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</si>
  <si>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</si>
  <si>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</si>
  <si>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</si>
  <si>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</si>
  <si>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</si>
  <si>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</si>
  <si>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</si>
  <si>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</si>
  <si>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</si>
  <si>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</si>
  <si>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</si>
  <si>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</si>
  <si>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</si>
  <si>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</si>
  <si>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</si>
  <si>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</si>
  <si>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</si>
  <si>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</si>
  <si>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</si>
  <si>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</si>
  <si>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</si>
  <si>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</si>
  <si>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</si>
  <si>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</si>
  <si>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</si>
  <si>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</si>
  <si>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</si>
  <si>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</si>
  <si>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</si>
  <si>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</si>
  <si>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</si>
  <si>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</si>
  <si>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</si>
  <si>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</si>
  <si>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</si>
  <si>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</si>
  <si>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</si>
  <si>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</si>
  <si>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</si>
  <si>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</si>
  <si>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</si>
  <si>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</si>
  <si>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</si>
  <si>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</si>
  <si>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</si>
  <si>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</si>
  <si>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</si>
  <si>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</si>
  <si>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</si>
  <si>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</si>
  <si>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</si>
  <si>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</si>
  <si>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</si>
  <si>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</si>
  <si>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</si>
  <si>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</si>
  <si>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</si>
  <si>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</si>
  <si>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</si>
  <si>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</si>
  <si>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</si>
  <si>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</si>
  <si>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</si>
  <si>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</si>
  <si>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</si>
  <si>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</si>
  <si>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</si>
  <si>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</si>
  <si>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</si>
  <si>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</si>
  <si>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</si>
  <si>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</si>
  <si>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</si>
  <si>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</si>
  <si>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</si>
  <si>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</si>
  <si>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</si>
  <si>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</si>
  <si>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</si>
  <si>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</si>
  <si>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</si>
  <si>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</si>
  <si>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</si>
  <si>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</si>
  <si>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</si>
  <si>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</si>
  <si>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</si>
  <si>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</si>
  <si>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</si>
  <si>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</si>
  <si>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</si>
  <si>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</si>
  <si>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</si>
  <si>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</si>
  <si>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</si>
  <si>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</si>
  <si>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</si>
  <si>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</si>
  <si>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</si>
  <si>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</si>
  <si>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</si>
  <si>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</si>
  <si>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</si>
  <si>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</si>
  <si>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</si>
  <si>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</si>
  <si>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</si>
  <si>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</si>
  <si>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</si>
  <si>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</si>
  <si>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</si>
  <si>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</si>
  <si>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</si>
  <si>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</si>
  <si>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</si>
  <si>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</si>
  <si>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</si>
  <si>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</si>
  <si>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</si>
  <si>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</si>
  <si>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</si>
  <si>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</si>
  <si>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</si>
  <si>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</si>
  <si>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</si>
  <si>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</si>
  <si>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</si>
  <si>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</si>
  <si>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</si>
  <si>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</si>
  <si>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</si>
  <si>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</si>
  <si>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</si>
  <si>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</si>
  <si>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</si>
  <si>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</si>
  <si>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</si>
  <si>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</si>
  <si>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</si>
  <si>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</si>
  <si>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</si>
  <si>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</si>
  <si>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</si>
  <si>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</si>
  <si>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</si>
  <si>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</si>
  <si>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</si>
  <si>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</si>
  <si>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</si>
  <si>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</si>
  <si>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</si>
  <si>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</si>
  <si>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</si>
  <si>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</si>
  <si>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</si>
  <si>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</si>
  <si>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</si>
  <si>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</si>
  <si>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</si>
  <si>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</si>
  <si>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</si>
  <si>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</si>
  <si>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</si>
  <si>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</si>
  <si>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</si>
  <si>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</si>
  <si>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</si>
  <si>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</si>
  <si>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</si>
  <si>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</si>
  <si>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</si>
  <si>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</si>
  <si>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</si>
  <si>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</si>
  <si>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</si>
  <si>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</si>
  <si>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</si>
  <si>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</si>
  <si>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</si>
  <si>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</si>
  <si>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</si>
  <si>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</si>
  <si>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</si>
  <si>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</si>
  <si>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</si>
  <si>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</si>
  <si>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</si>
  <si>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</si>
  <si>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</si>
  <si>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</si>
  <si>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</si>
  <si>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</si>
  <si>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</si>
  <si>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</si>
  <si>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</si>
  <si>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</si>
  <si>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</si>
  <si>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</si>
  <si>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</si>
  <si>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</si>
  <si>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</si>
  <si>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</si>
  <si>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</si>
  <si>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</si>
  <si>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</si>
  <si>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</si>
  <si>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</si>
  <si>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</si>
  <si>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</si>
  <si>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</si>
  <si>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</si>
  <si>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</si>
  <si>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</si>
  <si>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</si>
  <si>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</si>
  <si>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</si>
  <si>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</si>
  <si>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</si>
  <si>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</si>
  <si>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</si>
  <si>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</si>
  <si>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</si>
  <si>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</si>
  <si>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</si>
  <si>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</si>
  <si>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</si>
  <si>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</si>
  <si>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</si>
  <si>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</si>
  <si>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</si>
  <si>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</si>
  <si>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</si>
  <si>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</si>
  <si>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</si>
  <si>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</si>
  <si>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</si>
  <si>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</si>
  <si>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</si>
  <si>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</si>
  <si>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</si>
  <si>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</si>
  <si>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</si>
  <si>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</si>
  <si>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</si>
  <si>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</si>
  <si>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</si>
  <si>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</si>
  <si>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</si>
  <si>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</si>
  <si>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</si>
  <si>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</si>
  <si>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</si>
  <si>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</si>
  <si>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</si>
  <si>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</si>
  <si>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</si>
  <si>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</si>
  <si>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</si>
  <si>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</si>
  <si>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</si>
  <si>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</si>
  <si>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</si>
  <si>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</si>
  <si>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</si>
  <si>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</si>
  <si>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</si>
  <si>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</si>
  <si>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</si>
  <si>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</si>
  <si>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</si>
  <si>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</si>
  <si>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</si>
  <si>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</si>
  <si>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</si>
  <si>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</si>
  <si>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</si>
  <si>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</si>
  <si>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</si>
  <si>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</si>
  <si>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</si>
  <si>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</si>
  <si>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</si>
  <si>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</si>
  <si>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</si>
  <si>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</si>
  <si>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</si>
  <si>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</si>
  <si>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</si>
  <si>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</si>
  <si>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</si>
  <si>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</si>
  <si>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</si>
  <si>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</si>
  <si>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</si>
  <si>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</si>
  <si>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</si>
  <si>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</si>
  <si>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</si>
  <si>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</si>
  <si>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</si>
  <si>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</si>
  <si>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</si>
  <si>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</si>
  <si>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</si>
  <si>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</si>
  <si>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</si>
  <si>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</si>
  <si>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</si>
  <si>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</si>
  <si>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</si>
  <si>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</si>
  <si>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</si>
  <si>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</si>
  <si>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</si>
  <si>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</si>
  <si>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</si>
  <si>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</si>
  <si>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</si>
  <si>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</si>
  <si>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</si>
  <si>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</si>
  <si>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</si>
  <si>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</si>
  <si>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</si>
  <si>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</si>
  <si>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</si>
  <si>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</si>
  <si>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</si>
  <si>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</si>
  <si>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</si>
  <si>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</si>
  <si>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</si>
  <si>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</si>
  <si>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</si>
  <si>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</si>
  <si>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</si>
  <si>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</si>
  <si>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</si>
  <si>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</si>
  <si>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</si>
  <si>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</si>
  <si>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</si>
  <si>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</si>
  <si>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</si>
  <si>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</si>
  <si>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</si>
  <si>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</si>
  <si>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</si>
  <si>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</si>
  <si>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</si>
  <si>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</si>
  <si>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</si>
  <si>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</si>
  <si>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</si>
  <si>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</si>
  <si>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</si>
  <si>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</si>
  <si>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</si>
  <si>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</si>
  <si>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</si>
  <si>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</si>
  <si>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</si>
  <si>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</si>
  <si>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</si>
  <si>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</si>
  <si>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</si>
  <si>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</si>
  <si>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</si>
  <si>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</si>
  <si>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</si>
  <si>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</si>
  <si>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</si>
  <si>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</si>
  <si>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</si>
  <si>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</si>
  <si>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</si>
  <si>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</si>
  <si>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</si>
  <si>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</si>
  <si>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</si>
  <si>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</si>
  <si>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</si>
  <si>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</si>
  <si>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</si>
  <si>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</si>
  <si>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</si>
  <si>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</si>
  <si>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</si>
  <si>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</si>
  <si>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</si>
  <si>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</si>
  <si>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</si>
  <si>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</si>
  <si>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</si>
  <si>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</si>
  <si>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</si>
  <si>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</si>
  <si>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</si>
  <si>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</si>
  <si>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</si>
  <si>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</si>
  <si>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</si>
  <si>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</si>
  <si>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</si>
  <si>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</si>
  <si>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</si>
  <si>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</si>
  <si>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</si>
  <si>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</si>
  <si>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</si>
  <si>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</si>
  <si>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</si>
  <si>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</si>
  <si>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</si>
  <si>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</si>
  <si>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</si>
  <si>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</si>
  <si>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</si>
  <si>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</si>
  <si>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</si>
  <si>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</si>
  <si>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</si>
  <si>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</si>
  <si>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</si>
  <si>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</si>
  <si>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</si>
  <si>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</si>
  <si>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</si>
  <si>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</si>
  <si>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</si>
  <si>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</si>
  <si>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</si>
  <si>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</si>
  <si>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</si>
  <si>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</si>
  <si>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</si>
  <si>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</si>
  <si>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</si>
  <si>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</si>
  <si>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</si>
  <si>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</si>
  <si>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</si>
  <si>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</si>
  <si>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</si>
  <si>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</si>
  <si>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</si>
  <si>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</si>
  <si>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</si>
  <si>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</si>
  <si>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</si>
  <si>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</si>
  <si>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</si>
  <si>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</si>
  <si>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</si>
  <si>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</si>
  <si>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</si>
  <si>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</si>
  <si>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</si>
  <si>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</si>
  <si>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</si>
  <si>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</si>
  <si>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</si>
  <si>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</si>
  <si>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</si>
  <si>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</si>
  <si>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</si>
  <si>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</si>
  <si>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</si>
  <si>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</si>
  <si>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</si>
  <si>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</si>
  <si>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</si>
  <si>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</si>
  <si>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</si>
  <si>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</si>
  <si>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</si>
  <si>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</si>
  <si>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</si>
  <si>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</si>
  <si>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</si>
  <si>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</si>
  <si>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</si>
  <si>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</si>
  <si>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</si>
  <si>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</si>
  <si>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</si>
  <si>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</si>
  <si>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</si>
  <si>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</si>
  <si>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</si>
  <si>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</si>
  <si>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</si>
  <si>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</si>
  <si>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</si>
  <si>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</si>
  <si>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</si>
  <si>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</si>
  <si>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</si>
  <si>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</si>
  <si>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</si>
  <si>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</si>
  <si>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</si>
  <si>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</si>
  <si>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</si>
  <si>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</si>
  <si>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</si>
  <si>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</si>
  <si>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</si>
  <si>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</si>
  <si>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</si>
  <si>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</si>
  <si>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</si>
  <si>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</si>
  <si>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</si>
  <si>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</si>
  <si>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</si>
  <si>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</si>
  <si>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</si>
  <si>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</si>
  <si>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</si>
  <si>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</si>
  <si>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</si>
  <si>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</si>
  <si>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</si>
  <si>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</si>
  <si>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</si>
  <si>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</si>
  <si>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</si>
  <si>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</si>
  <si>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</si>
  <si>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</si>
  <si>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</si>
  <si>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</si>
  <si>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</si>
  <si>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</si>
  <si>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</si>
  <si>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</si>
  <si>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</si>
  <si>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</si>
  <si>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</si>
  <si>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</si>
  <si>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</si>
  <si>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</si>
  <si>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</si>
  <si>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</si>
  <si>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</si>
  <si>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</si>
  <si>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</si>
  <si>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</si>
  <si>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</si>
  <si>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</si>
  <si>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</si>
  <si>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</si>
  <si>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</si>
  <si>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</si>
  <si>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</si>
  <si>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</si>
  <si>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</si>
  <si>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</si>
  <si>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</si>
  <si>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</si>
  <si>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</si>
  <si>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</si>
  <si>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</si>
  <si>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</si>
  <si>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</si>
  <si>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</si>
  <si>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</si>
  <si>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</si>
  <si>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</si>
  <si>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</si>
  <si>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</si>
  <si>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</si>
  <si>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</si>
  <si>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</si>
  <si>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</si>
  <si>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</si>
  <si>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</si>
  <si>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</si>
  <si>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</si>
  <si>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</si>
  <si>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</si>
  <si>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</si>
  <si>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</si>
  <si>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</si>
  <si>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</si>
  <si>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</si>
  <si>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</si>
  <si>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</si>
  <si>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</si>
  <si>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</si>
  <si>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</si>
  <si>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</si>
  <si>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</si>
  <si>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</si>
  <si>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</si>
  <si>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</si>
  <si>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</si>
  <si>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</si>
  <si>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</si>
  <si>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</si>
  <si>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</si>
  <si>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</si>
  <si>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</si>
  <si>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</si>
  <si>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</si>
  <si>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</si>
  <si>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</si>
  <si>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</si>
  <si>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</si>
  <si>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</si>
  <si>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</si>
  <si>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</si>
  <si>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</si>
  <si>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</si>
  <si>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</si>
  <si>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</si>
  <si>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</si>
  <si>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</si>
  <si>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</si>
  <si>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</si>
  <si>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</si>
  <si>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</si>
  <si>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</si>
  <si>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</si>
  <si>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</si>
  <si>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</si>
  <si>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</si>
  <si>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</si>
  <si>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</si>
  <si>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</si>
  <si>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</si>
  <si>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</si>
  <si>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</si>
  <si>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</si>
  <si>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</si>
  <si>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</si>
  <si>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</si>
  <si>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</si>
  <si>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</si>
  <si>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</si>
  <si>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</si>
  <si>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</si>
  <si>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</si>
  <si>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</si>
  <si>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</si>
  <si>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</si>
  <si>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</si>
  <si>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</si>
  <si>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</si>
  <si>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</si>
  <si>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</si>
  <si>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</si>
  <si>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</si>
  <si>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</si>
  <si>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</si>
  <si>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</si>
  <si>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</si>
  <si>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</si>
  <si>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</si>
  <si>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</si>
  <si>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</si>
  <si>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</si>
  <si>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</si>
  <si>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</si>
  <si>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</si>
  <si>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</si>
  <si>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</si>
  <si>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</si>
  <si>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</si>
  <si>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</si>
  <si>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</si>
  <si>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</si>
  <si>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</si>
  <si>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</si>
  <si>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</si>
  <si>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</si>
  <si>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</si>
  <si>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</si>
  <si>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</si>
  <si>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</si>
  <si>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</si>
  <si>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</si>
  <si>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</si>
  <si>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</si>
  <si>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</si>
  <si>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</si>
  <si>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</si>
  <si>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</si>
  <si>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</si>
  <si>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</si>
  <si>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</si>
  <si>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</si>
  <si>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</si>
  <si>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</si>
  <si>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</si>
  <si>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</si>
  <si>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</si>
  <si>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</si>
  <si>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</si>
  <si>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</si>
  <si>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</si>
  <si>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</si>
  <si>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</si>
  <si>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</si>
  <si>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</si>
  <si>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</si>
  <si>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</si>
  <si>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</si>
  <si>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</si>
  <si>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</si>
  <si>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</si>
  <si>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</si>
  <si>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</si>
  <si>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</si>
  <si>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</si>
  <si>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</si>
  <si>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</si>
  <si>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</si>
  <si>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</si>
  <si>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</si>
  <si>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</si>
  <si>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</si>
  <si>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</si>
  <si>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</si>
  <si>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</si>
  <si>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</si>
  <si>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</si>
  <si>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</si>
  <si>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</si>
  <si>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</si>
  <si>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</si>
  <si>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</si>
  <si>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</si>
  <si>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</si>
  <si>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</si>
  <si>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</si>
  <si>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</si>
  <si>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</si>
  <si>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</si>
  <si>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</si>
  <si>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</si>
  <si>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</si>
  <si>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</si>
  <si>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</si>
  <si>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</si>
  <si>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</si>
  <si>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</si>
  <si>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</si>
  <si>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</si>
  <si>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</si>
  <si>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</si>
  <si>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</si>
  <si>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</si>
  <si>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</si>
  <si>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</si>
  <si>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</si>
  <si>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</si>
  <si>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</si>
  <si>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</si>
  <si>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</si>
  <si>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</si>
  <si>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</si>
  <si>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</si>
  <si>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</si>
  <si>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</si>
  <si>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</si>
  <si>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</si>
  <si>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</si>
  <si>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</si>
  <si>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</si>
  <si>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</si>
  <si>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</si>
  <si>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</si>
  <si>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</si>
  <si>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</si>
  <si>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</si>
  <si>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</si>
  <si>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</si>
  <si>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</si>
  <si>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</si>
  <si>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</si>
  <si>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</si>
  <si>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</si>
  <si>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</si>
  <si>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</si>
  <si>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</si>
  <si>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</si>
  <si>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</si>
  <si>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</si>
  <si>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</si>
  <si>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</si>
  <si>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</si>
  <si>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</si>
  <si>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</si>
  <si>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</si>
  <si>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</si>
  <si>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</si>
  <si>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</si>
  <si>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</si>
  <si>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</si>
  <si>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</si>
  <si>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</si>
  <si>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</si>
  <si>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</si>
  <si>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</si>
  <si>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</si>
  <si>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</si>
  <si>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</si>
  <si>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</si>
  <si>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</si>
  <si>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</si>
  <si>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</si>
  <si>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</si>
  <si>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</si>
  <si>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</si>
  <si>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</si>
  <si>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</si>
  <si>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</si>
  <si>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</si>
  <si>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</si>
  <si>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</si>
  <si>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</si>
  <si>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</si>
  <si>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</si>
  <si>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</si>
  <si>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</si>
  <si>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</si>
  <si>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</si>
  <si>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</si>
  <si>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</si>
  <si>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</si>
  <si>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</si>
  <si>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</si>
  <si>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</si>
  <si>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</si>
  <si>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</si>
  <si>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</si>
  <si>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</si>
  <si>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</si>
  <si>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</si>
  <si>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</si>
  <si>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</si>
  <si>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</si>
  <si>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</si>
  <si>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</si>
  <si>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</si>
  <si>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</si>
  <si>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</si>
  <si>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</si>
  <si>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</si>
  <si>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</si>
  <si>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</si>
  <si>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</si>
  <si>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</si>
  <si>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</si>
  <si>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</si>
  <si>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</si>
  <si>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</si>
  <si>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</si>
  <si>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</si>
  <si>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</si>
  <si>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</si>
  <si>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</si>
  <si>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</si>
  <si>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</si>
  <si>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</si>
  <si>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</si>
  <si>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</si>
  <si>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</si>
  <si>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</si>
  <si>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</si>
  <si>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</si>
  <si>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</si>
  <si>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</si>
  <si>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</si>
  <si>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</si>
  <si>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</si>
  <si>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</si>
  <si>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</si>
  <si>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</si>
  <si>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</si>
  <si>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</si>
  <si>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</si>
  <si>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</si>
  <si>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</si>
  <si>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</si>
  <si>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</si>
  <si>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</si>
  <si>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</si>
  <si>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</si>
  <si>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</si>
  <si>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</si>
  <si>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</si>
  <si>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</si>
  <si>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</si>
  <si>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</si>
  <si>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</si>
  <si>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</si>
  <si>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</si>
  <si>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</si>
  <si>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</si>
  <si>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</si>
  <si>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</si>
  <si>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</si>
  <si>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</si>
  <si>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</si>
  <si>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</si>
  <si>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</si>
  <si>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</si>
  <si>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</si>
  <si>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</si>
  <si>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</si>
  <si>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</si>
  <si>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</si>
  <si>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</si>
  <si>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</si>
  <si>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</si>
  <si>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</si>
  <si>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</si>
  <si>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</si>
  <si>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</si>
  <si>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</si>
  <si>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</si>
  <si>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</si>
  <si>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</si>
  <si>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</si>
  <si>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</si>
  <si>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</si>
  <si>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</si>
  <si>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</si>
  <si>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</si>
  <si>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</si>
  <si>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</si>
  <si>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</si>
  <si>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</si>
  <si>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</si>
  <si>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</si>
  <si>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</si>
  <si>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</si>
  <si>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</si>
  <si>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</si>
  <si>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</si>
  <si>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</si>
  <si>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</si>
  <si>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</si>
  <si>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</si>
  <si>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</si>
  <si>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</si>
  <si>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</si>
  <si>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</si>
  <si>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</si>
  <si>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</si>
  <si>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</si>
  <si>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</si>
  <si>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</si>
  <si>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</si>
  <si>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</si>
  <si>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</si>
  <si>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</si>
  <si>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</si>
  <si>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</si>
  <si>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</si>
  <si>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</si>
  <si>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</si>
  <si>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</si>
  <si>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</si>
  <si>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</si>
  <si>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</si>
  <si>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</si>
  <si>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</si>
  <si>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</si>
  <si>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</si>
  <si>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</si>
  <si>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</si>
  <si>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</si>
  <si>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</si>
  <si>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</si>
  <si>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</si>
  <si>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</si>
  <si>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</si>
  <si>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</si>
  <si>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</si>
  <si>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</si>
  <si>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</si>
  <si>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</si>
  <si>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</si>
  <si>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</si>
  <si>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</si>
  <si>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</si>
  <si>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</si>
  <si>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</si>
  <si>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</si>
  <si>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</si>
  <si>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</si>
  <si>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</si>
  <si>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</si>
  <si>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</si>
  <si>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</si>
  <si>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</si>
  <si>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</si>
  <si>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</si>
  <si>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</si>
  <si>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</si>
  <si>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</si>
  <si>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</si>
  <si>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</si>
  <si>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</si>
  <si>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</si>
  <si>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</si>
  <si>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</si>
  <si>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</si>
  <si>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</si>
  <si>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</si>
  <si>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</si>
  <si>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</si>
  <si>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</si>
  <si>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</si>
  <si>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</si>
  <si>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</si>
  <si>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</si>
  <si>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</si>
  <si>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</si>
  <si>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</si>
  <si>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</si>
  <si>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</si>
  <si>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</si>
  <si>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</si>
  <si>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</si>
  <si>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</si>
  <si>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</si>
  <si>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</si>
  <si>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</si>
  <si>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</si>
  <si>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</si>
  <si>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</si>
  <si>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</si>
  <si>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</si>
  <si>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</si>
  <si>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</si>
  <si>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</si>
  <si>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</si>
  <si>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</si>
  <si>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</si>
  <si>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</si>
  <si>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</si>
  <si>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</si>
  <si>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</si>
  <si>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</si>
  <si>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</si>
  <si>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</si>
  <si>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</si>
  <si>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</si>
  <si>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</si>
  <si>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</si>
  <si>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</si>
  <si>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</si>
  <si>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</si>
  <si>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</si>
  <si>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</si>
  <si>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</si>
  <si>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</si>
  <si>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</si>
  <si>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</si>
  <si>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</si>
  <si>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</si>
  <si>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</si>
  <si>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</si>
  <si>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</si>
  <si>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</si>
  <si>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</si>
  <si>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</si>
  <si>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</si>
  <si>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</si>
  <si>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</si>
  <si>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</si>
  <si>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</si>
  <si>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</si>
  <si>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</si>
  <si>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</si>
  <si>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</si>
  <si>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</si>
  <si>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</si>
  <si>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</si>
  <si>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</si>
  <si>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</si>
  <si>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</si>
  <si>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</si>
  <si>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</si>
  <si>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</si>
  <si>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</si>
  <si>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</si>
  <si>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</si>
  <si>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</si>
  <si>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</si>
  <si>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</si>
  <si>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</si>
  <si>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</si>
  <si>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</si>
  <si>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</si>
  <si>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</si>
  <si>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</si>
  <si>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</si>
  <si>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</si>
  <si>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</si>
  <si>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</si>
  <si>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</si>
  <si>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</si>
  <si>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</si>
  <si>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</si>
  <si>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</si>
  <si>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</si>
  <si>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</si>
  <si>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</si>
  <si>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</si>
  <si>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</si>
  <si>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</si>
  <si>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</si>
  <si>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</si>
  <si>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</si>
  <si>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</si>
  <si>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</si>
  <si>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</si>
  <si>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</si>
  <si>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</si>
  <si>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</si>
  <si>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</si>
  <si>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</si>
  <si>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</si>
  <si>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</si>
  <si>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</si>
  <si>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</si>
  <si>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</si>
  <si>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</si>
  <si>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</si>
  <si>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</si>
  <si>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</si>
  <si>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</si>
  <si>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</si>
  <si>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</si>
  <si>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</si>
  <si>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</si>
  <si>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</si>
  <si>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</si>
  <si>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</si>
  <si>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</si>
  <si>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</si>
  <si>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</si>
  <si>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</si>
  <si>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</si>
  <si>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</si>
  <si>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</si>
  <si>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</si>
  <si>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</si>
  <si>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</si>
  <si>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</si>
  <si>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</si>
  <si>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</si>
  <si>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</si>
  <si>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</si>
  <si>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</si>
  <si>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</si>
  <si>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</si>
  <si>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</si>
  <si>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</si>
  <si>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</si>
  <si>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</si>
  <si>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</si>
  <si>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</si>
  <si>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</si>
  <si>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</si>
  <si>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</si>
  <si>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</si>
  <si>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</si>
  <si>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</si>
  <si>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</si>
  <si>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</si>
  <si>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</si>
  <si>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</si>
  <si>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</si>
  <si>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</si>
  <si>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</si>
  <si>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</si>
  <si>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</si>
  <si>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</si>
  <si>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</si>
  <si>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</si>
  <si>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</si>
  <si>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</si>
  <si>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</si>
  <si>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</si>
  <si>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</si>
  <si>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</si>
  <si>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</si>
  <si>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</si>
  <si>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</si>
  <si>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</si>
  <si>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</si>
  <si>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</si>
  <si>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</si>
  <si>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</si>
  <si>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</si>
  <si>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</si>
  <si>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</si>
  <si>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</si>
  <si>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</si>
  <si>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</si>
  <si>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</si>
  <si>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</si>
  <si>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</si>
  <si>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</si>
  <si>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</si>
  <si>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</si>
  <si>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</si>
  <si>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</si>
  <si>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</si>
  <si>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</si>
  <si>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</si>
  <si>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</si>
  <si>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</si>
  <si>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</si>
  <si>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</si>
  <si>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</si>
  <si>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</si>
  <si>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</si>
  <si>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</si>
  <si>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</si>
  <si>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</si>
  <si>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</si>
  <si>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</si>
  <si>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</si>
  <si>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</si>
  <si>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</si>
  <si>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</si>
  <si>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</si>
  <si>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</si>
  <si>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</si>
  <si>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</si>
  <si>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</si>
  <si>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</si>
  <si>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</si>
  <si>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</si>
  <si>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</si>
  <si>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</si>
  <si>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</si>
  <si>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</si>
  <si>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</si>
  <si>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</si>
  <si>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</si>
  <si>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</si>
  <si>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</si>
  <si>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</si>
  <si>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</si>
  <si>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</si>
  <si>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</si>
  <si>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</si>
  <si>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</si>
  <si>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</si>
  <si>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</si>
  <si>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</si>
  <si>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</si>
  <si>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</si>
  <si>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</si>
  <si>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</si>
  <si>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</si>
  <si>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</si>
  <si>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</si>
  <si>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</si>
  <si>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</si>
  <si>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</si>
  <si>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</si>
  <si>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</si>
  <si>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</si>
  <si>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</si>
  <si>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</si>
  <si>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</si>
  <si>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</si>
  <si>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</si>
  <si>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</si>
  <si>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</si>
  <si>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</si>
  <si>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</si>
  <si>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</si>
  <si>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</si>
  <si>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</si>
  <si>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</si>
  <si>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</si>
  <si>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</si>
  <si>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</si>
  <si>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</si>
  <si>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</si>
  <si>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</si>
  <si>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</si>
  <si>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</si>
  <si>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</si>
  <si>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</si>
  <si>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</si>
  <si>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</si>
  <si>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</si>
  <si>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</si>
  <si>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</si>
  <si>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</si>
  <si>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</si>
  <si>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</si>
  <si>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</si>
  <si>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</si>
  <si>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</si>
  <si>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</si>
  <si>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</si>
  <si>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</si>
  <si>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</si>
  <si>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</si>
  <si>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</si>
  <si>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</si>
  <si>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</si>
  <si>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</si>
  <si>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</si>
  <si>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</si>
  <si>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</si>
  <si>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</si>
  <si>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</si>
  <si>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</si>
  <si>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</si>
  <si>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</si>
  <si>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</si>
  <si>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</si>
  <si>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</si>
  <si>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</si>
  <si>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</si>
  <si>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</si>
  <si>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</si>
  <si>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</si>
  <si>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</si>
  <si>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</si>
  <si>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</si>
  <si>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</si>
  <si>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</si>
  <si>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</si>
  <si>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</si>
  <si>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</si>
  <si>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</si>
  <si>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</si>
  <si>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</si>
  <si>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</si>
  <si>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</si>
  <si>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</si>
  <si>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</si>
  <si>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</si>
  <si>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</si>
  <si>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</si>
  <si>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</si>
  <si>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</si>
  <si>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</si>
  <si>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</si>
  <si>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</si>
  <si>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</si>
  <si>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</si>
  <si>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</si>
  <si>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</si>
  <si>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</si>
  <si>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</si>
  <si>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</si>
  <si>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</si>
  <si>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</si>
  <si>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</si>
  <si>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</si>
  <si>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</si>
  <si>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</si>
  <si>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</si>
  <si>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</si>
  <si>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</si>
  <si>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</si>
  <si>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</si>
  <si>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</si>
  <si>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</si>
  <si>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</si>
  <si>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</si>
  <si>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</si>
  <si>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</si>
  <si>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</si>
  <si>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</si>
  <si>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</si>
  <si>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</si>
  <si>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</si>
  <si>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</si>
  <si>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</si>
  <si>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</si>
  <si>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</si>
  <si>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</si>
  <si>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</si>
  <si>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</si>
  <si>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</si>
  <si>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</si>
  <si>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</si>
  <si>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</si>
  <si>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</si>
  <si>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</si>
  <si>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</si>
  <si>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</si>
  <si>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</si>
  <si>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</si>
  <si>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</si>
  <si>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</si>
  <si>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</si>
  <si>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</si>
  <si>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</si>
  <si>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</si>
  <si>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</si>
  <si>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</si>
  <si>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</si>
  <si>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</si>
  <si>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</si>
  <si>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</si>
  <si>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</si>
  <si>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</si>
  <si>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</si>
  <si>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</si>
  <si>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</si>
  <si>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</si>
  <si>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</si>
  <si>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</si>
  <si>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</si>
  <si>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</si>
  <si>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</si>
  <si>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</si>
  <si>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</si>
  <si>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</si>
  <si>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</si>
  <si>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</si>
  <si>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</si>
  <si>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</si>
  <si>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</si>
  <si>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</si>
  <si>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</si>
  <si>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</si>
  <si>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</si>
  <si>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</si>
  <si>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</si>
  <si>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</si>
  <si>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</si>
  <si>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</si>
  <si>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</si>
  <si>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</si>
  <si>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</si>
  <si>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</si>
  <si>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</si>
  <si>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</si>
  <si>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</si>
  <si>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</si>
  <si>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</si>
  <si>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</si>
  <si>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</si>
  <si>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</si>
  <si>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</si>
  <si>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</si>
  <si>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</si>
  <si>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</si>
  <si>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</si>
  <si>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</si>
  <si>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</si>
  <si>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</si>
  <si>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</si>
  <si>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</si>
  <si>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</si>
  <si>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</si>
  <si>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</si>
  <si>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</si>
  <si>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</si>
  <si>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</si>
  <si>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</si>
  <si>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</si>
  <si>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</si>
  <si>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</si>
  <si>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</si>
  <si>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</si>
  <si>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</si>
  <si>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</si>
  <si>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</si>
  <si>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</si>
  <si>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</si>
  <si>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</si>
  <si>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</si>
  <si>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</si>
  <si>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</si>
  <si>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</si>
  <si>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</si>
  <si>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</si>
  <si>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</si>
  <si>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</si>
  <si>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</si>
  <si>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</si>
  <si>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</si>
  <si>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</si>
  <si>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</si>
  <si>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</si>
  <si>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</si>
  <si>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</si>
  <si>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</si>
  <si>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</si>
  <si>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</si>
  <si>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</si>
  <si>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</si>
  <si>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</si>
  <si>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</si>
  <si>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</si>
  <si>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</si>
  <si>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</si>
  <si>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</si>
  <si>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</si>
  <si>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</si>
  <si>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</si>
  <si>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</si>
  <si>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</si>
  <si>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</si>
  <si>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</si>
  <si>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</si>
  <si>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</si>
  <si>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</si>
  <si>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m3</t>
  </si>
  <si>
    <t>Gl</t>
  </si>
  <si>
    <t>Kg</t>
  </si>
  <si>
    <t>Material Granular</t>
  </si>
  <si>
    <t>Madera alamo</t>
  </si>
  <si>
    <t>Clavos</t>
  </si>
  <si>
    <t>Pulg</t>
  </si>
  <si>
    <t>kg</t>
  </si>
  <si>
    <t>Grupo Electrogeno 13KVA</t>
  </si>
  <si>
    <t xml:space="preserve">Unidad </t>
  </si>
  <si>
    <t>Accesorios de Montaje</t>
  </si>
  <si>
    <t>DEPARTAMENTO DE HIDRAULICA</t>
  </si>
  <si>
    <t>MEJORA DE LA RED DE RIEGO DEL VALLE DE JÁCHAL</t>
  </si>
  <si>
    <t>JACHAL</t>
  </si>
  <si>
    <t>XX/07/2020</t>
  </si>
  <si>
    <t>TAREAS GENERALES</t>
  </si>
  <si>
    <t>Limpieza inicial y Relevamientos Topograficos</t>
  </si>
  <si>
    <t>gl.</t>
  </si>
  <si>
    <t>Replanteo y Ajustes</t>
  </si>
  <si>
    <t>AZUD PACHIMOCO</t>
  </si>
  <si>
    <t>Compuertas Frontales</t>
  </si>
  <si>
    <t>Reemplazo de compuertas frontales azud</t>
  </si>
  <si>
    <t>Motorizacion/Electrificacion compuertas frontales azud</t>
  </si>
  <si>
    <t>Grupo electrógeno 20kVA</t>
  </si>
  <si>
    <t>Desripiador Margen Derecha</t>
  </si>
  <si>
    <t>Reemplazo de compuertas desripiador</t>
  </si>
  <si>
    <t>Obra de Toma</t>
  </si>
  <si>
    <t>Reemplazo de compuertas obra de toma</t>
  </si>
  <si>
    <t>Motorizacion/Electrificacion obra de toma</t>
  </si>
  <si>
    <t>Obras Anexas</t>
  </si>
  <si>
    <t>Reacondicionamiento pasarela</t>
  </si>
  <si>
    <t>Mantenimiento grupo electrogeno existente</t>
  </si>
  <si>
    <t>Pararrayos</t>
  </si>
  <si>
    <t>Puesta a tierra</t>
  </si>
  <si>
    <t>DESARENADOR</t>
  </si>
  <si>
    <t>Rehabilitación compuerta de limpieza</t>
  </si>
  <si>
    <t>Reemplazo de compuertas desarenador</t>
  </si>
  <si>
    <t>Motorizacion/Electrificacion desarenador</t>
  </si>
  <si>
    <t>3.1.1</t>
  </si>
  <si>
    <t>3.1.2</t>
  </si>
  <si>
    <t>CANAL MATRIZ</t>
  </si>
  <si>
    <t>Tramo Inicial - Encamisado total</t>
  </si>
  <si>
    <t>Limpieza camino de servicio</t>
  </si>
  <si>
    <t>Limpieza y preparación del terreno</t>
  </si>
  <si>
    <t>Excavación</t>
  </si>
  <si>
    <t>Relleno y compactación</t>
  </si>
  <si>
    <t>Hormigón H20</t>
  </si>
  <si>
    <t>Malla de acero</t>
  </si>
  <si>
    <t>Hormigón armado H20</t>
  </si>
  <si>
    <t>Tramo Final - Reconstruccion total</t>
  </si>
  <si>
    <t>Rehabilitacion camino de servicio</t>
  </si>
  <si>
    <t>Demoliciones</t>
  </si>
  <si>
    <t>Excavacion</t>
  </si>
  <si>
    <t>Geotextil</t>
  </si>
  <si>
    <t>Grava de asiento</t>
  </si>
  <si>
    <t>Hormigón de limpieza</t>
  </si>
  <si>
    <t>Reemplazo de compuertas</t>
  </si>
  <si>
    <t>Readecuacion comparto de derivacion</t>
  </si>
  <si>
    <t>unidad</t>
  </si>
  <si>
    <t>4.1.1</t>
  </si>
  <si>
    <t>4.1.2</t>
  </si>
  <si>
    <t>CANAL DEL NORTE</t>
  </si>
  <si>
    <t>Encamisado Total</t>
  </si>
  <si>
    <t>Rehabilitación camino de servicio</t>
  </si>
  <si>
    <t>Hormigon H20</t>
  </si>
  <si>
    <t>Obras de cruce aluvional</t>
  </si>
  <si>
    <t>Hormigon de limpleza</t>
  </si>
  <si>
    <t>Remocion recubrimiento dañado y limpieza en pila, fondo losa y estribos</t>
  </si>
  <si>
    <t>Arenado de armaduras existentes</t>
  </si>
  <si>
    <t>provision e instalacion de pernos de anclaje en estribos</t>
  </si>
  <si>
    <t>Proteccion convertidor de óxido</t>
  </si>
  <si>
    <t>Puente de adherencia entre hormigones</t>
  </si>
  <si>
    <t>Juntas de dilatacion</t>
  </si>
  <si>
    <t>Hormigón ciclopeo</t>
  </si>
  <si>
    <t>Aplicación puente de adherencia y reconstruccion de recubrimiento</t>
  </si>
  <si>
    <t>litros</t>
  </si>
  <si>
    <t>5.1.1</t>
  </si>
  <si>
    <t>5.1.2</t>
  </si>
  <si>
    <t>5.1.3</t>
  </si>
  <si>
    <t>5.1.4</t>
  </si>
  <si>
    <t>5.1.5</t>
  </si>
  <si>
    <t>5.1.6</t>
  </si>
  <si>
    <t>5.2.1</t>
  </si>
  <si>
    <t>5.2.2</t>
  </si>
  <si>
    <t>5.2.3</t>
  </si>
  <si>
    <t>5.2.4</t>
  </si>
  <si>
    <t>5.2.5</t>
  </si>
  <si>
    <t>5.2.6</t>
  </si>
  <si>
    <t>5.2.7</t>
  </si>
  <si>
    <t>5.2.8</t>
  </si>
  <si>
    <t>5.2.9</t>
  </si>
  <si>
    <t>5.2.10</t>
  </si>
  <si>
    <t>5.2.11</t>
  </si>
  <si>
    <t>PROYECTO EJECUTIVO</t>
  </si>
  <si>
    <t>3.1</t>
  </si>
  <si>
    <t>2.1</t>
  </si>
  <si>
    <t>2.2</t>
  </si>
  <si>
    <t>3.1.3</t>
  </si>
  <si>
    <t>3.2</t>
  </si>
  <si>
    <t>3.2.1</t>
  </si>
  <si>
    <t>3.3</t>
  </si>
  <si>
    <t>3.3.1</t>
  </si>
  <si>
    <t>3.3.2</t>
  </si>
  <si>
    <t>3.4</t>
  </si>
  <si>
    <t>3.4.1</t>
  </si>
  <si>
    <t>3.4.2</t>
  </si>
  <si>
    <t>3.4.3</t>
  </si>
  <si>
    <t>3.4.4</t>
  </si>
  <si>
    <t>4.1</t>
  </si>
  <si>
    <t>5.1</t>
  </si>
  <si>
    <t>5.1.7</t>
  </si>
  <si>
    <t>5.2</t>
  </si>
  <si>
    <t>6.1</t>
  </si>
  <si>
    <t>6.1.1</t>
  </si>
  <si>
    <t>6.1.2</t>
  </si>
  <si>
    <t>6.1.3</t>
  </si>
  <si>
    <t>6.1.4</t>
  </si>
  <si>
    <t>6.1.5</t>
  </si>
  <si>
    <t>6.1.6</t>
  </si>
  <si>
    <t>6.2</t>
  </si>
  <si>
    <t>6.2.1</t>
  </si>
  <si>
    <t>6.2.2</t>
  </si>
  <si>
    <t>6.2.3</t>
  </si>
  <si>
    <t>6.2.4</t>
  </si>
  <si>
    <t>6.2.5</t>
  </si>
  <si>
    <t>6.2.6</t>
  </si>
  <si>
    <t>6.2.7</t>
  </si>
  <si>
    <t>6.2.8</t>
  </si>
  <si>
    <t>6.2.9</t>
  </si>
  <si>
    <t>6.2.10</t>
  </si>
  <si>
    <t>6.2.11</t>
  </si>
  <si>
    <t>6.2.12</t>
  </si>
  <si>
    <t>6.2.13</t>
  </si>
  <si>
    <t>6.2.14</t>
  </si>
  <si>
    <t>6.2.15</t>
  </si>
  <si>
    <t>Juntas constructivas</t>
  </si>
</sst>
</file>

<file path=xl/styles.xml><?xml version="1.0" encoding="utf-8"?>
<styleSheet xmlns="http://schemas.openxmlformats.org/spreadsheetml/2006/main" xmlns:mc="http://schemas.openxmlformats.org/markup-compatibility/2006" xmlns:x14ac="http://schemas.microsoft.com/office/spreadsheetml/2009/9/ac" mc:Ignorable="x14ac">
  <numFmts count="92">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_ ;_ &quot;$&quot;\ * \-#,##0_ ;_ &quot;$&quot;\ * &quot;-&quot;_ ;_ @_ "/>
    <numFmt numFmtId="167" formatCode="_ &quot;$&quot;\ * #,##0.00_ ;_ &quot;$&quot;\ * \-#,##0.00_ ;_ &quot;$&quot;\ * &quot;-&quot;??_ ;_ @_ "/>
    <numFmt numFmtId="168" formatCode="_ * #,##0.00_ ;_ * \-#,##0.00_ ;_ * &quot;-&quot;??_ ;_ @_ "/>
    <numFmt numFmtId="169" formatCode="_-* #,##0\ &quot;$&quot;_-;\-* #,##0\ &quot;$&quot;_-;_-* &quot;-&quot;\ &quot;$&quot;_-;_-@_-"/>
    <numFmt numFmtId="170" formatCode="_-* #,##0.00\ &quot;€&quot;_-;\-* #,##0.00\ &quot;€&quot;_-;_-* &quot;-&quot;??\ &quot;€&quot;_-;_-@_-"/>
    <numFmt numFmtId="171" formatCode="_-* #,##0.00\ _€_-;\-* #,##0.00\ _€_-;_-* &quot;-&quot;??\ _€_-;_-@_-"/>
    <numFmt numFmtId="172" formatCode="_-&quot;$&quot;* #,##0.00_-;\-&quot;$&quot;* #,##0.00_-;_-&quot;$&quot;* &quot;-&quot;??_-;_-@_-"/>
    <numFmt numFmtId="173" formatCode="0.0000%"/>
    <numFmt numFmtId="174" formatCode="#,"/>
    <numFmt numFmtId="175" formatCode="#,#00"/>
    <numFmt numFmtId="176" formatCode="#.##000"/>
    <numFmt numFmtId="177" formatCode="\$#,#00"/>
    <numFmt numFmtId="178" formatCode="#,#00\ &quot;dias corridos&quot;"/>
    <numFmt numFmtId="179" formatCode="0.000%"/>
    <numFmt numFmtId="180" formatCode="&quot;Mes &quot;#,#00\ "/>
    <numFmt numFmtId="181" formatCode="0.0\ &quot;km&quot;"/>
    <numFmt numFmtId="182" formatCode="_(* #,##0.00_);_(* \(#,##0.00\);_(* &quot;-&quot;??_);_(@_)"/>
    <numFmt numFmtId="183" formatCode="0000"/>
    <numFmt numFmtId="184" formatCode="&quot;$&quot;\ #,##0.00"/>
    <numFmt numFmtId="185" formatCode="_ &quot;$&quot;\ * #,##0.00_ ;_ &quot;$&quot;\ * \-#,##0.00_ ;_ @_ "/>
    <numFmt numFmtId="186" formatCode="_-&quot;$&quot;* #,##0.00_-;\-&quot;$&quot;* #,##0.00_-;_-@_-"/>
    <numFmt numFmtId="187" formatCode="_ [$€-2]\ * #,##0.00_ ;_ [$€-2]\ * \-#,##0.00_ ;_ [$€-2]\ * &quot;-&quot;??_ "/>
    <numFmt numFmtId="188" formatCode="d\-mmmm\-yyyy"/>
    <numFmt numFmtId="189" formatCode="&quot;$&quot;#,##0_);\(&quot;$&quot;#,##0\)"/>
    <numFmt numFmtId="190" formatCode="#,##0.0"/>
    <numFmt numFmtId="191" formatCode="0.00_)"/>
    <numFmt numFmtId="192" formatCode="#,#00\ &quot;HP&quot;"/>
    <numFmt numFmtId="193" formatCode="0.000000"/>
    <numFmt numFmtId="194" formatCode="000"/>
    <numFmt numFmtId="195" formatCode="0.0000"/>
    <numFmt numFmtId="196" formatCode="0,000\ &quot;hs&quot;"/>
    <numFmt numFmtId="197" formatCode="0.00\ &quot;lts/HP&quot;"/>
    <numFmt numFmtId="198" formatCode="0.00000\ &quot;$/lts&quot;"/>
    <numFmt numFmtId="199" formatCode="0.000000\ &quot; /mes&quot;"/>
    <numFmt numFmtId="200" formatCode="0.00000\ &quot;$/km&quot;"/>
    <numFmt numFmtId="201" formatCode="0,000\ &quot;km&quot;"/>
    <numFmt numFmtId="202" formatCode="0,000\ &quot;km/mes&quot;"/>
    <numFmt numFmtId="203" formatCode="0.00\ &quot;lts/km&quot;"/>
    <numFmt numFmtId="204" formatCode="0\ &quot;un&quot;"/>
    <numFmt numFmtId="205" formatCode="#,000\ &quot;km&quot;"/>
    <numFmt numFmtId="206" formatCode="0.00\ &quot; /HP&quot;"/>
    <numFmt numFmtId="207" formatCode="0.00000\ &quot; /d&quot;"/>
    <numFmt numFmtId="208" formatCode="0.\ &quot;mes&quot;"/>
    <numFmt numFmtId="209" formatCode="0\ &quot;$/un&quot;"/>
    <numFmt numFmtId="210" formatCode="0.000"/>
    <numFmt numFmtId="211" formatCode="0.000\ &quot;$/hs&quot;"/>
    <numFmt numFmtId="212" formatCode="#,##0\ &quot;$ x &quot;"/>
    <numFmt numFmtId="213" formatCode="0.00\ &quot;$/hs&quot;"/>
    <numFmt numFmtId="214" formatCode="0.00&quot;/año&quot;"/>
    <numFmt numFmtId="215" formatCode="#,##0\ &quot;hs&quot;"/>
    <numFmt numFmtId="216" formatCode="0\ &quot;nº&quot;"/>
    <numFmt numFmtId="217" formatCode="0\ \ &quot;nº&quot;\ \ \ \x"/>
    <numFmt numFmtId="218" formatCode="0\ &quot;$/nº&quot;"/>
    <numFmt numFmtId="219" formatCode="0.000\ &quot;$/km&quot;"/>
    <numFmt numFmtId="220" formatCode="0.00\ &quot;$/lts&quot;"/>
    <numFmt numFmtId="221" formatCode="0.00\ &quot;lts/km&quot;\ \x"/>
    <numFmt numFmtId="222" formatCode="0.000\ &quot;$/lts&quot;\ \x"/>
    <numFmt numFmtId="223" formatCode="0.00\ &quot;= &quot;"/>
    <numFmt numFmtId="224" formatCode="0.0000\ &quot;$/km&quot;"/>
    <numFmt numFmtId="225" formatCode="0\ &quot;t&quot;"/>
    <numFmt numFmtId="226" formatCode="0\ &quot;km/h&quot;"/>
    <numFmt numFmtId="227" formatCode="0\ &quot;minutos&quot;"/>
    <numFmt numFmtId="228" formatCode="0\ &quot;tkm&quot;"/>
    <numFmt numFmtId="229" formatCode="0\ &quot;km&quot;"/>
    <numFmt numFmtId="230" formatCode="0.000\ "/>
    <numFmt numFmtId="231" formatCode="0\ &quot;$/hs&quot;"/>
    <numFmt numFmtId="232" formatCode="_-&quot;$&quot;* #,##0.000_-;\-&quot;$&quot;* #,##0.000_-;_-&quot;$&quot;* &quot;-&quot;??_-;_-@_-"/>
    <numFmt numFmtId="233" formatCode="0.0%"/>
    <numFmt numFmtId="234" formatCode="#,#00.00\ &quot;HP&quot;"/>
    <numFmt numFmtId="235" formatCode="_(&quot;$&quot;* #,##0_);_(&quot;$&quot;* \(#,##0\);_(&quot;$&quot;* &quot;-&quot;_);_(@_)"/>
    <numFmt numFmtId="236" formatCode="_(&quot;$&quot;* #,##0.00_);_(&quot;$&quot;* \(#,##0.00\);_(&quot;$&quot;* &quot;-&quot;??_);_(@_)"/>
    <numFmt numFmtId="237" formatCode="_-* #,##0.00\ &quot;pta&quot;_-;\-* #,##0.00\ &quot;pta&quot;_-;_-* &quot;-&quot;??\ &quot;pta&quot;_-;_-@_-"/>
    <numFmt numFmtId="238" formatCode="_-* #,##0.00\ _p_t_a_-;\-* #,##0.00\ _p_t_a_-;_-* &quot;-&quot;??\ _p_t_a_-;_-@_-"/>
    <numFmt numFmtId="239" formatCode="_ [$€]\ * #,##0.00_ ;_ [$€]\ * \-#,##0.00_ ;_ [$€]\ * &quot;-&quot;??_ ;_ @_ "/>
    <numFmt numFmtId="240" formatCode="&quot;$&quot;#,#00"/>
    <numFmt numFmtId="241" formatCode="_-* #.##0.00\ &quot;pta&quot;_-;\-* #.##0.00\ &quot;pta&quot;_-;_-* &quot;-&quot;??\ &quot;pta&quot;_-;_-@_-"/>
    <numFmt numFmtId="242" formatCode="_-* #,##0\ &quot;pta&quot;_-;\-* #,##0\ &quot;pta&quot;_-;_-* &quot;-&quot;\ &quot;pta&quot;_-;_-@_-"/>
    <numFmt numFmtId="243" formatCode="_-* #,##0.00\ [$€]_-;\-* #,##0.00\ [$€]_-;_-* &quot;-&quot;??\ [$€]_-;_-@_-"/>
    <numFmt numFmtId="244" formatCode="_(&quot;Ch$&quot;* #,##0.00_);_(&quot;Ch$&quot;* \(#,##0.00\);_(&quot;Ch$&quot;* &quot;-&quot;??_);_(@_)"/>
    <numFmt numFmtId="245" formatCode="m\o\n\th\ d\,\ \y\y\y\y"/>
    <numFmt numFmtId="246" formatCode="General_)"/>
    <numFmt numFmtId="247" formatCode="&quot;$&quot;#,##0\ ;\(&quot;$&quot;#,##0\)"/>
    <numFmt numFmtId="248" formatCode="&quot;$&quot;\ #,##0_);\(&quot;$&quot;\ #,##0\)"/>
    <numFmt numFmtId="249" formatCode="_-* #,##0\ _$_-;\-* #,##0\ _$_-;_-* &quot;-&quot;\ _$_-;_-@_-"/>
    <numFmt numFmtId="250" formatCode="&quot; &quot;#,##0.00&quot; &quot;;&quot; -&quot;#,##0.00&quot; &quot;;&quot; -&quot;00&quot; &quot;;&quot; &quot;@&quot; &quot;"/>
    <numFmt numFmtId="251" formatCode="_-* #,##0.000\ _€_-;\-* #,##0.000\ _€_-;_-* &quot;-&quot;???\ _€_-;_-@_-"/>
    <numFmt numFmtId="252" formatCode="_-&quot;$&quot;\ * #,##0.000000_-;\-&quot;$&quot;\ * #,##0.000000_-;_-&quot;$&quot;\ * &quot;-&quot;??????_-;_-@_-"/>
    <numFmt numFmtId="253" formatCode="0.0"/>
  </numFmts>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Times New Roman"/>
      <family val="1"/>
    </font>
    <font>
      <sz val="11"/>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2"/>
      <name val="Helv"/>
    </font>
    <font>
      <sz val="12"/>
      <color indexed="8"/>
      <name val="Arial"/>
      <family val="2"/>
    </font>
    <font>
      <sz val="14"/>
      <color indexed="8"/>
      <name val="Arial"/>
      <family val="2"/>
    </font>
    <font>
      <sz val="1"/>
      <color indexed="9"/>
      <name val="Helv"/>
    </font>
    <font>
      <b/>
      <sz val="18"/>
      <color indexed="24"/>
      <name val="Arial"/>
      <family val="2"/>
    </font>
    <font>
      <b/>
      <sz val="12"/>
      <color indexed="24"/>
      <name val="Arial"/>
      <family val="2"/>
    </font>
    <font>
      <sz val="10"/>
      <name val="Geneva"/>
    </font>
    <font>
      <sz val="10"/>
      <name val="MS Sans Serif"/>
      <family val="2"/>
    </font>
    <font>
      <sz val="8"/>
      <name val="CG Times (E1)"/>
    </font>
    <font>
      <sz val="10"/>
      <name val="Helv"/>
    </font>
    <font>
      <sz val="8"/>
      <name val="Times New Roman"/>
      <family val="1"/>
    </font>
    <font>
      <b/>
      <sz val="10"/>
      <name val="Times New Roman"/>
      <family val="1"/>
    </font>
    <font>
      <sz val="11"/>
      <name val="Helv"/>
    </font>
    <font>
      <sz val="10"/>
      <name val="Verdana"/>
      <family val="2"/>
    </font>
    <font>
      <sz val="10"/>
      <color indexed="24"/>
      <name val="Arial"/>
      <family val="2"/>
    </font>
    <font>
      <u/>
      <sz val="10"/>
      <color indexed="12"/>
      <name val="Arial"/>
      <family val="2"/>
    </font>
    <font>
      <shadow/>
      <sz val="8"/>
      <color indexed="12"/>
      <name val="Times New Roman"/>
      <family val="1"/>
    </font>
    <font>
      <sz val="8"/>
      <name val="Helv"/>
    </font>
    <font>
      <sz val="8"/>
      <name val="Myriad Condensed Web"/>
      <family val="2"/>
    </font>
    <font>
      <sz val="10"/>
      <color indexed="8"/>
      <name val="Times New Roman"/>
      <family val="1"/>
    </font>
    <font>
      <b/>
      <sz val="12"/>
      <name val="Univers (WN)"/>
    </font>
    <font>
      <sz val="10"/>
      <name val="Univers (E1)"/>
    </font>
    <font>
      <sz val="10"/>
      <name val="Arial Narrow"/>
      <family val="2"/>
    </font>
  </fonts>
  <fills count="3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1"/>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9"/>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9"/>
        <bgColor indexed="9"/>
      </patternFill>
    </fill>
    <fill>
      <patternFill patternType="gray0625"/>
    </fill>
    <fill>
      <patternFill patternType="solid">
        <fgColor indexed="9"/>
        <bgColor indexed="26"/>
      </patternFill>
    </fill>
  </fills>
  <borders count="77">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diagonal/>
    </border>
  </borders>
  <cellStyleXfs count="434">
    <xf numFmtId="0" fontId="0" fillId="0" borderId="0"/>
    <xf numFmtId="9" fontId="7" fillId="0" borderId="0" applyFont="0" applyFill="0" applyBorder="0" applyAlignment="0" applyProtection="0"/>
    <xf numFmtId="172"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4" fontId="21" fillId="0" borderId="0">
      <protection locked="0"/>
    </xf>
    <xf numFmtId="174" fontId="21" fillId="0" borderId="0">
      <protection locked="0"/>
    </xf>
    <xf numFmtId="0" fontId="8" fillId="0" borderId="0" applyFont="0" applyFill="0" applyBorder="0" applyAlignment="0" applyProtection="0"/>
    <xf numFmtId="175" fontId="20" fillId="0" borderId="0">
      <protection locked="0"/>
    </xf>
    <xf numFmtId="176" fontId="20" fillId="0" borderId="0">
      <protection locked="0"/>
    </xf>
    <xf numFmtId="177"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8" fontId="26"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8"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7"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8" fontId="8" fillId="0" borderId="0" applyFill="0" applyBorder="0" applyAlignment="0" applyProtection="0"/>
    <xf numFmtId="2" fontId="8" fillId="0" borderId="0" applyFill="0" applyBorder="0" applyAlignment="0" applyProtection="0"/>
    <xf numFmtId="168" fontId="26" fillId="0" borderId="0" applyFont="0" applyFill="0" applyBorder="0" applyAlignment="0" applyProtection="0"/>
    <xf numFmtId="171" fontId="8" fillId="0" borderId="0" applyFont="0" applyFill="0" applyBorder="0" applyAlignment="0" applyProtection="0"/>
    <xf numFmtId="168"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72" fontId="8" fillId="0" borderId="0" applyFont="0" applyFill="0" applyBorder="0" applyAlignment="0" applyProtection="0"/>
    <xf numFmtId="172" fontId="3" fillId="0" borderId="0" applyFont="0" applyFill="0" applyBorder="0" applyAlignment="0" applyProtection="0"/>
    <xf numFmtId="167" fontId="32" fillId="0" borderId="0" applyFont="0" applyFill="0" applyBorder="0" applyAlignment="0" applyProtection="0"/>
    <xf numFmtId="167" fontId="8" fillId="0" borderId="0" applyFont="0" applyFill="0" applyBorder="0" applyAlignment="0" applyProtection="0"/>
    <xf numFmtId="172" fontId="3" fillId="0" borderId="0" applyFont="0" applyFill="0" applyBorder="0" applyAlignment="0" applyProtection="0"/>
    <xf numFmtId="189"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8" fillId="0" borderId="0" applyNumberFormat="0" applyFill="0" applyBorder="0" applyAlignment="0" applyProtection="0"/>
    <xf numFmtId="0" fontId="52" fillId="0" borderId="0" applyNumberFormat="0" applyFill="0" applyBorder="0" applyAlignment="0" applyProtection="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68" fillId="0" borderId="12" applyBorder="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4" borderId="0" applyNumberFormat="0" applyBorder="0" applyAlignment="0" applyProtection="0"/>
    <xf numFmtId="0" fontId="8" fillId="0" borderId="0" applyNumberFormat="0" applyFill="0" applyBorder="0" applyAlignment="0" applyProtection="0"/>
    <xf numFmtId="3" fontId="69" fillId="0" borderId="0" applyNumberFormat="0" applyFill="0" applyBorder="0" applyAlignment="0" applyProtection="0"/>
    <xf numFmtId="3" fontId="70" fillId="0" borderId="0" applyNumberFormat="0" applyFill="0" applyBorder="0" applyAlignment="0" applyProtection="0"/>
    <xf numFmtId="0" fontId="61" fillId="8" borderId="0" applyNumberFormat="0" applyBorder="0" applyAlignment="0" applyProtection="0"/>
    <xf numFmtId="1" fontId="71" fillId="25" borderId="0"/>
    <xf numFmtId="0" fontId="53" fillId="0" borderId="0" applyNumberFormat="0" applyFill="0" applyBorder="0" applyAlignment="0"/>
    <xf numFmtId="0" fontId="14" fillId="0" borderId="0" applyNumberFormat="0" applyFill="0" applyBorder="0" applyAlignment="0" applyProtection="0"/>
    <xf numFmtId="0" fontId="14"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56" fillId="26" borderId="65" applyNumberFormat="0" applyAlignment="0" applyProtection="0"/>
    <xf numFmtId="0" fontId="57" fillId="27" borderId="66" applyNumberFormat="0" applyAlignment="0" applyProtection="0"/>
    <xf numFmtId="250" fontId="26" fillId="0" borderId="0" applyFont="0" applyFill="0" applyBorder="0" applyAlignment="0" applyProtection="0"/>
    <xf numFmtId="249" fontId="52" fillId="0" borderId="0" applyFont="0" applyFill="0" applyBorder="0" applyAlignment="0" applyProtection="0"/>
    <xf numFmtId="40" fontId="74"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169" fontId="52" fillId="0" borderId="0" applyFont="0" applyFill="0" applyBorder="0" applyAlignment="0" applyProtection="0"/>
    <xf numFmtId="244" fontId="8" fillId="0" borderId="0" applyFont="0" applyFill="0" applyBorder="0" applyAlignment="0" applyProtection="0"/>
    <xf numFmtId="245" fontId="20" fillId="0" borderId="0">
      <protection locked="0"/>
    </xf>
    <xf numFmtId="0" fontId="8" fillId="0" borderId="0" applyFont="0" applyFill="0" applyBorder="0" applyProtection="0">
      <alignment horizontal="left"/>
    </xf>
    <xf numFmtId="0" fontId="76" fillId="0" borderId="0" applyFont="0" applyFill="0" applyBorder="0" applyAlignment="0" applyProtection="0">
      <protection locked="0"/>
    </xf>
    <xf numFmtId="39" fontId="77" fillId="0" borderId="0" applyFont="0" applyFill="0" applyBorder="0" applyAlignment="0" applyProtection="0"/>
    <xf numFmtId="0" fontId="78" fillId="0" borderId="0" applyFont="0" applyFill="0" applyBorder="0" applyAlignment="0"/>
    <xf numFmtId="3" fontId="79" fillId="28" borderId="0" applyFont="0" applyAlignment="0"/>
    <xf numFmtId="0" fontId="21" fillId="0" borderId="0">
      <protection locked="0"/>
    </xf>
    <xf numFmtId="0" fontId="21" fillId="0" borderId="0">
      <protection locked="0"/>
    </xf>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4" fillId="1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54" fillId="14"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54" fillId="31"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4" fillId="26"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4" fillId="1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4" fillId="12" borderId="0" applyNumberFormat="0" applyBorder="0" applyAlignment="0" applyProtection="0"/>
    <xf numFmtId="246" fontId="80" fillId="0" borderId="0"/>
    <xf numFmtId="1" fontId="8" fillId="0" borderId="15" applyNumberFormat="0">
      <alignment horizontal="center"/>
    </xf>
    <xf numFmtId="175" fontId="8" fillId="0" borderId="0" applyFont="0" applyFill="0" applyBorder="0" applyAlignment="0" applyProtection="0"/>
    <xf numFmtId="187" fontId="8" fillId="0" borderId="0" applyFont="0" applyFill="0" applyBorder="0" applyAlignment="0" applyProtection="0"/>
    <xf numFmtId="243" fontId="8" fillId="0" borderId="0" applyFont="0" applyFill="0" applyBorder="0" applyAlignment="0" applyProtection="0"/>
    <xf numFmtId="239" fontId="8" fillId="0" borderId="0" applyFont="0" applyFill="0" applyBorder="0" applyAlignment="0" applyProtection="0"/>
    <xf numFmtId="0" fontId="81" fillId="0" borderId="0"/>
    <xf numFmtId="0" fontId="81" fillId="0" borderId="0"/>
    <xf numFmtId="0" fontId="64" fillId="0" borderId="0" applyNumberFormat="0" applyFill="0" applyBorder="0" applyAlignment="0" applyProtection="0"/>
    <xf numFmtId="0" fontId="20" fillId="0" borderId="0">
      <protection locked="0"/>
    </xf>
    <xf numFmtId="0" fontId="20" fillId="0" borderId="0">
      <protection locked="0"/>
    </xf>
    <xf numFmtId="0" fontId="82" fillId="0" borderId="0" applyFont="0" applyFill="0" applyBorder="0" applyAlignment="0" applyProtection="0"/>
    <xf numFmtId="175" fontId="20" fillId="0" borderId="0">
      <protection locked="0"/>
    </xf>
    <xf numFmtId="0" fontId="55" fillId="9" borderId="0" applyNumberFormat="0" applyBorder="0" applyAlignment="0" applyProtection="0"/>
    <xf numFmtId="38" fontId="9" fillId="4" borderId="0" applyNumberFormat="0" applyBorder="0" applyAlignment="0" applyProtection="0"/>
    <xf numFmtId="0" fontId="14" fillId="0" borderId="68" applyNumberFormat="0" applyAlignment="0" applyProtection="0">
      <alignment horizontal="left" vertical="center"/>
    </xf>
    <xf numFmtId="0" fontId="14" fillId="0" borderId="8">
      <alignment horizontal="left" vertical="center"/>
    </xf>
    <xf numFmtId="0" fontId="66" fillId="0" borderId="69" applyNumberFormat="0" applyFill="0" applyAlignment="0" applyProtection="0"/>
    <xf numFmtId="0" fontId="67" fillId="0" borderId="70" applyNumberFormat="0" applyFill="0" applyAlignment="0" applyProtection="0"/>
    <xf numFmtId="0" fontId="59" fillId="0" borderId="71" applyNumberFormat="0" applyFill="0" applyAlignment="0" applyProtection="0"/>
    <xf numFmtId="0" fontId="59" fillId="0" borderId="0" applyNumberFormat="0" applyFill="0" applyBorder="0" applyAlignment="0" applyProtection="0"/>
    <xf numFmtId="174" fontId="21" fillId="0" borderId="0">
      <protection locked="0"/>
    </xf>
    <xf numFmtId="174" fontId="21" fillId="0" borderId="0">
      <protection locked="0"/>
    </xf>
    <xf numFmtId="0" fontId="83" fillId="0" borderId="0" applyNumberFormat="0" applyFon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ont="0" applyFill="0" applyBorder="0" applyAlignment="0" applyProtection="0">
      <alignment vertical="top"/>
      <protection locked="0"/>
    </xf>
    <xf numFmtId="0" fontId="60" fillId="12" borderId="65" applyNumberFormat="0" applyAlignment="0" applyProtection="0"/>
    <xf numFmtId="0" fontId="84" fillId="0" borderId="6" applyFill="0" applyBorder="0" applyAlignment="0">
      <alignment horizontal="center"/>
      <protection locked="0"/>
    </xf>
    <xf numFmtId="10" fontId="9" fillId="32" borderId="3" applyNumberFormat="0" applyBorder="0" applyAlignment="0" applyProtection="0"/>
    <xf numFmtId="0" fontId="84" fillId="0" borderId="0" applyFill="0" applyBorder="0" applyAlignment="0">
      <protection locked="0"/>
    </xf>
    <xf numFmtId="0" fontId="84" fillId="0" borderId="0" applyFill="0" applyBorder="0" applyAlignment="0" applyProtection="0">
      <protection locked="0"/>
    </xf>
    <xf numFmtId="0" fontId="60" fillId="12" borderId="65" applyNumberFormat="0" applyAlignment="0" applyProtection="0"/>
    <xf numFmtId="0" fontId="58" fillId="0" borderId="67" applyNumberFormat="0" applyFill="0" applyAlignment="0" applyProtection="0"/>
    <xf numFmtId="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238" fontId="8" fillId="0" borderId="0" applyFont="0" applyFill="0" applyBorder="0" applyAlignment="0" applyProtection="0"/>
    <xf numFmtId="16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0" fontId="8" fillId="0" borderId="0" applyFont="0" applyFill="0" applyBorder="0" applyAlignment="0" applyProtection="0"/>
    <xf numFmtId="18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238" fontId="8" fillId="0" borderId="0" applyFont="0" applyFill="0" applyBorder="0" applyAlignment="0" applyProtection="0"/>
    <xf numFmtId="168" fontId="26" fillId="0" borderId="0" applyFont="0" applyFill="0" applyBorder="0" applyAlignment="0" applyProtection="0"/>
    <xf numFmtId="168" fontId="8" fillId="0" borderId="0" applyFont="0" applyFill="0" applyBorder="0" applyAlignment="0" applyProtection="0"/>
    <xf numFmtId="168" fontId="26"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6" fontId="2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7" fontId="8" fillId="0" borderId="0" applyFont="0" applyFill="0" applyBorder="0" applyAlignment="0" applyProtection="0"/>
    <xf numFmtId="170" fontId="8" fillId="0" borderId="0" applyFill="0" applyBorder="0" applyAlignment="0" applyProtection="0"/>
    <xf numFmtId="167" fontId="8" fillId="0" borderId="0" applyFont="0" applyFill="0" applyBorder="0" applyAlignment="0" applyProtection="0"/>
    <xf numFmtId="23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3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40" fontId="8" fillId="0" borderId="0" applyFont="0" applyFill="0" applyBorder="0" applyAlignment="0" applyProtection="0"/>
    <xf numFmtId="240" fontId="8" fillId="0" borderId="0" applyFont="0" applyFill="0" applyBorder="0" applyAlignment="0" applyProtection="0"/>
    <xf numFmtId="235" fontId="8" fillId="0" borderId="0" applyFont="0" applyFill="0" applyBorder="0" applyAlignment="0" applyProtection="0"/>
    <xf numFmtId="241" fontId="8"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8" fillId="0" borderId="0" applyFont="0" applyFill="0" applyBorder="0" applyAlignment="0" applyProtection="0"/>
    <xf numFmtId="167" fontId="2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2"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3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40" fontId="20" fillId="0" borderId="0">
      <protection locked="0"/>
    </xf>
    <xf numFmtId="247" fontId="82" fillId="0" borderId="0" applyFont="0" applyFill="0" applyBorder="0" applyAlignment="0" applyProtection="0"/>
    <xf numFmtId="0" fontId="8" fillId="0" borderId="0" applyFont="0" applyFill="0" applyBorder="0" applyAlignment="0" applyProtection="0"/>
    <xf numFmtId="0" fontId="8" fillId="0" borderId="0"/>
    <xf numFmtId="14" fontId="8" fillId="0" borderId="0"/>
    <xf numFmtId="0" fontId="8" fillId="0" borderId="0"/>
    <xf numFmtId="0" fontId="53" fillId="0" borderId="0" applyFill="0" applyBorder="0" applyAlignment="0"/>
    <xf numFmtId="0" fontId="8" fillId="0" borderId="0"/>
    <xf numFmtId="0" fontId="8" fillId="0" borderId="0" applyNumberFormat="0"/>
    <xf numFmtId="0" fontId="8" fillId="0" borderId="0"/>
    <xf numFmtId="0" fontId="85" fillId="0" borderId="0"/>
    <xf numFmtId="0" fontId="8" fillId="0" borderId="0"/>
    <xf numFmtId="0" fontId="85" fillId="0" borderId="0"/>
    <xf numFmtId="0" fontId="8" fillId="0" borderId="0"/>
    <xf numFmtId="0" fontId="8" fillId="0" borderId="0"/>
    <xf numFmtId="0" fontId="8" fillId="0" borderId="0" applyNumberFormat="0" applyFill="0" applyBorder="0" applyAlignment="0" applyProtection="0"/>
    <xf numFmtId="0" fontId="8" fillId="0" borderId="0"/>
    <xf numFmtId="0" fontId="26" fillId="0" borderId="0"/>
    <xf numFmtId="0" fontId="32" fillId="0" borderId="0" applyNumberFormat="0" applyBorder="0" applyProtection="0"/>
    <xf numFmtId="0" fontId="26" fillId="0" borderId="0"/>
    <xf numFmtId="0" fontId="26" fillId="0" borderId="0"/>
    <xf numFmtId="191" fontId="22" fillId="0" borderId="0"/>
    <xf numFmtId="0" fontId="8" fillId="0" borderId="0"/>
    <xf numFmtId="0" fontId="1" fillId="0" borderId="0"/>
    <xf numFmtId="0" fontId="8" fillId="0" borderId="0"/>
    <xf numFmtId="0" fontId="8" fillId="0" borderId="0"/>
    <xf numFmtId="0" fontId="8" fillId="0" borderId="0"/>
    <xf numFmtId="0" fontId="8" fillId="0" borderId="0"/>
    <xf numFmtId="246" fontId="22" fillId="0" borderId="0"/>
    <xf numFmtId="0" fontId="26" fillId="0" borderId="0"/>
    <xf numFmtId="0" fontId="8" fillId="0" borderId="0"/>
    <xf numFmtId="0" fontId="26" fillId="0" borderId="0"/>
    <xf numFmtId="0" fontId="26" fillId="0" borderId="0"/>
    <xf numFmtId="0" fontId="8" fillId="0" borderId="0"/>
    <xf numFmtId="0" fontId="8" fillId="0" borderId="0"/>
    <xf numFmtId="0" fontId="8" fillId="0" borderId="0" applyNumberFormat="0"/>
    <xf numFmtId="0" fontId="8" fillId="0" borderId="0" applyNumberFormat="0"/>
    <xf numFmtId="0" fontId="8" fillId="0" borderId="0"/>
    <xf numFmtId="0" fontId="86" fillId="0" borderId="0"/>
    <xf numFmtId="0" fontId="8" fillId="30" borderId="72" applyNumberFormat="0" applyFont="0" applyAlignment="0" applyProtection="0"/>
    <xf numFmtId="0" fontId="62" fillId="26" borderId="73" applyNumberFormat="0" applyAlignment="0" applyProtection="0"/>
    <xf numFmtId="0" fontId="53" fillId="0" borderId="9" applyFont="0" applyFill="0" applyBorder="0" applyAlignment="0" applyProtection="0">
      <alignment horizontal="right"/>
    </xf>
    <xf numFmtId="0" fontId="8" fillId="0" borderId="0" applyFont="0" applyFill="0" applyBorder="0" applyAlignment="0" applyProtection="0"/>
    <xf numFmtId="0" fontId="8" fillId="0" borderId="0" applyFont="0" applyFill="0" applyBorder="0" applyAlignment="0" applyProtection="0"/>
    <xf numFmtId="10" fontId="8" fillId="0" borderId="0" applyFont="0" applyFill="0" applyBorder="0" applyAlignment="0" applyProtection="0"/>
    <xf numFmtId="0" fontId="8" fillId="0" borderId="0" applyFont="0" applyFill="0" applyBorder="0" applyAlignment="0" applyProtection="0"/>
    <xf numFmtId="22" fontId="8" fillId="0" borderId="0" applyFont="0" applyFill="0" applyBorder="0" applyAlignment="0" applyProtection="0"/>
    <xf numFmtId="248" fontId="53" fillId="0" borderId="0"/>
    <xf numFmtId="3" fontId="87" fillId="28" borderId="0" applyFill="0" applyProtection="0">
      <alignment horizontal="right"/>
    </xf>
    <xf numFmtId="3" fontId="32" fillId="28" borderId="0" applyFill="0" applyBorder="0" applyAlignment="0" applyProtection="0">
      <alignment horizontal="left"/>
      <protection locked="0"/>
    </xf>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 fontId="8" fillId="33" borderId="0"/>
    <xf numFmtId="3" fontId="82" fillId="0" borderId="0" applyFont="0" applyFill="0" applyBorder="0" applyAlignment="0" applyProtection="0"/>
    <xf numFmtId="3" fontId="13" fillId="0" borderId="0" applyFill="0" applyBorder="0" applyAlignment="0" applyProtection="0"/>
    <xf numFmtId="3" fontId="19" fillId="0" borderId="0" applyFill="0" applyBorder="0" applyAlignment="0" applyProtection="0"/>
    <xf numFmtId="3" fontId="13" fillId="0" borderId="0" applyFill="0" applyBorder="0" applyAlignment="0" applyProtection="0"/>
    <xf numFmtId="246" fontId="22" fillId="0" borderId="3" applyNumberFormat="0" applyFont="0" applyFill="0" applyAlignment="0" applyProtection="0">
      <alignment horizontal="center"/>
    </xf>
    <xf numFmtId="38" fontId="75" fillId="34" borderId="0" applyNumberFormat="0" applyFont="0" applyBorder="0" applyAlignment="0" applyProtection="0"/>
    <xf numFmtId="38" fontId="88" fillId="0" borderId="0" applyFill="0" applyBorder="0" applyAlignment="0" applyProtection="0"/>
    <xf numFmtId="0" fontId="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 fontId="76" fillId="0" borderId="0" applyFont="0" applyFill="0" applyBorder="0" applyAlignment="0" applyProtection="0">
      <alignment horizontal="left"/>
    </xf>
    <xf numFmtId="0" fontId="65" fillId="0" borderId="0" applyNumberFormat="0" applyFill="0" applyBorder="0" applyAlignment="0" applyProtection="0"/>
    <xf numFmtId="10" fontId="89" fillId="0" borderId="2" applyNumberFormat="0" applyFont="0" applyFill="0" applyAlignment="0" applyProtection="0"/>
    <xf numFmtId="0" fontId="63" fillId="0" borderId="0" applyNumberFormat="0" applyFill="0" applyBorder="0" applyAlignment="0" applyProtection="0"/>
    <xf numFmtId="0" fontId="8" fillId="0" borderId="8"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3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2"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2"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3" fontId="8" fillId="0" borderId="3" xfId="1" applyNumberFormat="1" applyFont="1" applyBorder="1" applyAlignment="1" applyProtection="1">
      <alignment vertical="center"/>
      <protection hidden="1"/>
    </xf>
    <xf numFmtId="173" fontId="12" fillId="0" borderId="3" xfId="1" applyNumberFormat="1" applyFont="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Border="1" applyAlignment="1" applyProtection="1">
      <alignment vertical="center"/>
      <protection hidden="1"/>
    </xf>
    <xf numFmtId="10" fontId="13" fillId="0" borderId="0" xfId="16" applyNumberFormat="1" applyFont="1" applyAlignment="1" applyProtection="1">
      <alignment vertical="center"/>
      <protection hidden="1"/>
    </xf>
    <xf numFmtId="0" fontId="13" fillId="0" borderId="0" xfId="7" applyFont="1" applyAlignment="1" applyProtection="1">
      <alignment horizontal="right" vertical="center"/>
      <protection hidden="1"/>
    </xf>
    <xf numFmtId="180"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80"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167"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2"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3" fontId="8" fillId="0" borderId="0" xfId="16" applyNumberFormat="1" applyFont="1" applyAlignment="1" applyProtection="1">
      <alignment vertical="center"/>
      <protection hidden="1"/>
    </xf>
    <xf numFmtId="173" fontId="12" fillId="0" borderId="0" xfId="16" applyNumberFormat="1" applyFont="1" applyAlignment="1" applyProtection="1">
      <alignment vertical="center"/>
      <protection hidden="1"/>
    </xf>
    <xf numFmtId="173" fontId="12" fillId="0" borderId="3" xfId="16" applyNumberFormat="1" applyFont="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0" fontId="12" fillId="0" borderId="11" xfId="7" applyFont="1" applyBorder="1" applyAlignment="1" applyProtection="1">
      <alignment vertical="center"/>
      <protection hidden="1"/>
    </xf>
    <xf numFmtId="180" fontId="12" fillId="0" borderId="8" xfId="7" applyNumberFormat="1" applyFont="1" applyBorder="1" applyAlignment="1" applyProtection="1">
      <alignment horizontal="center" vertical="center"/>
      <protection hidden="1"/>
    </xf>
    <xf numFmtId="173" fontId="12"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9" fontId="12" fillId="0" borderId="11" xfId="1" applyNumberFormat="1" applyFont="1" applyBorder="1" applyAlignment="1" applyProtection="1">
      <alignment vertical="center"/>
      <protection hidden="1"/>
    </xf>
    <xf numFmtId="0" fontId="19" fillId="0" borderId="0" xfId="7" quotePrefix="1" applyFont="1" applyAlignment="1" applyProtection="1">
      <alignment horizontal="center" vertical="center"/>
      <protection hidden="1"/>
    </xf>
    <xf numFmtId="178"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6" fontId="12" fillId="0" borderId="3" xfId="2" applyNumberFormat="1" applyFont="1" applyBorder="1" applyAlignment="1" applyProtection="1">
      <alignment vertical="center"/>
      <protection hidden="1"/>
    </xf>
    <xf numFmtId="186" fontId="8" fillId="0" borderId="3" xfId="2" applyNumberFormat="1" applyFont="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2" fontId="12" fillId="3" borderId="0" xfId="7" applyNumberFormat="1" applyFont="1" applyFill="1" applyAlignment="1">
      <alignment horizontal="center" vertical="center"/>
    </xf>
    <xf numFmtId="9" fontId="8" fillId="3" borderId="0" xfId="1" applyFont="1" applyFill="1" applyAlignment="1">
      <alignment horizontal="center" vertical="center"/>
    </xf>
    <xf numFmtId="14" fontId="8" fillId="3" borderId="0" xfId="7" applyNumberFormat="1" applyFill="1" applyAlignment="1">
      <alignment horizontal="center" vertical="center"/>
    </xf>
    <xf numFmtId="178" fontId="8" fillId="3" borderId="0" xfId="7" applyNumberFormat="1" applyFill="1" applyAlignment="1">
      <alignment horizontal="center" vertical="center"/>
    </xf>
    <xf numFmtId="178" fontId="8" fillId="0" borderId="0" xfId="7" applyNumberFormat="1" applyAlignment="1">
      <alignment horizontal="center" vertical="center"/>
    </xf>
    <xf numFmtId="44" fontId="8" fillId="0" borderId="0" xfId="0" applyNumberFormat="1" applyFont="1" applyAlignment="1">
      <alignment vertical="center"/>
    </xf>
    <xf numFmtId="184"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Border="1" applyAlignment="1" applyProtection="1">
      <alignment horizontal="left" vertical="center"/>
      <protection locked="0"/>
    </xf>
    <xf numFmtId="172" fontId="8" fillId="0" borderId="3" xfId="49"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72" fontId="8" fillId="0" borderId="3" xfId="0" applyNumberFormat="1" applyFont="1" applyBorder="1" applyAlignment="1" applyProtection="1">
      <alignment vertical="center"/>
      <protection locked="0"/>
    </xf>
    <xf numFmtId="9" fontId="8" fillId="0" borderId="0" xfId="1" applyFont="1" applyAlignment="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2" fontId="14" fillId="0" borderId="0" xfId="7" applyNumberFormat="1" applyFont="1" applyAlignment="1">
      <alignment horizontal="center" vertical="center"/>
    </xf>
    <xf numFmtId="9" fontId="19" fillId="0" borderId="0" xfId="1" applyFont="1" applyAlignment="1">
      <alignment horizontal="center" vertical="center"/>
    </xf>
    <xf numFmtId="14" fontId="19" fillId="0" borderId="0" xfId="7" applyNumberFormat="1" applyFont="1" applyAlignment="1">
      <alignment horizontal="center" vertical="center"/>
    </xf>
    <xf numFmtId="178" fontId="19" fillId="0" borderId="0" xfId="7" applyNumberFormat="1" applyFont="1" applyAlignment="1">
      <alignment horizontal="center" vertical="center"/>
    </xf>
    <xf numFmtId="172"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5" fontId="8" fillId="0" borderId="3" xfId="2" applyNumberFormat="1" applyFont="1" applyBorder="1" applyAlignment="1">
      <alignment vertical="center"/>
    </xf>
    <xf numFmtId="173" fontId="8" fillId="0" borderId="3" xfId="1" applyNumberFormat="1" applyFont="1" applyBorder="1" applyAlignment="1">
      <alignment vertical="center"/>
    </xf>
    <xf numFmtId="0" fontId="12" fillId="0" borderId="13" xfId="0" applyFont="1" applyBorder="1" applyAlignment="1">
      <alignment horizontal="center" vertical="center"/>
    </xf>
    <xf numFmtId="173" fontId="12" fillId="0" borderId="3" xfId="1" applyNumberFormat="1" applyFont="1" applyBorder="1" applyAlignment="1">
      <alignment vertical="center"/>
    </xf>
    <xf numFmtId="167"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Alignment="1">
      <alignment vertical="center"/>
    </xf>
    <xf numFmtId="0" fontId="12" fillId="0" borderId="0" xfId="0" applyFont="1" applyAlignment="1">
      <alignment horizontal="left" vertical="center"/>
    </xf>
    <xf numFmtId="0" fontId="14" fillId="0" borderId="0" xfId="0" applyFont="1" applyAlignment="1">
      <alignment horizontal="right" vertical="center"/>
    </xf>
    <xf numFmtId="172"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72" fontId="8" fillId="0" borderId="8" xfId="0" applyNumberFormat="1" applyFont="1" applyBorder="1" applyAlignment="1" applyProtection="1">
      <alignment vertical="center"/>
      <protection hidden="1"/>
    </xf>
    <xf numFmtId="172"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72"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4" fontId="12" fillId="0" borderId="0" xfId="63" applyNumberFormat="1" applyFont="1" applyAlignment="1">
      <alignment vertical="center"/>
    </xf>
    <xf numFmtId="0" fontId="8" fillId="0" borderId="0" xfId="63" applyAlignment="1">
      <alignment horizontal="center" vertical="center"/>
    </xf>
    <xf numFmtId="183" fontId="8" fillId="0" borderId="0" xfId="19" applyNumberFormat="1" applyFont="1" applyAlignment="1">
      <alignment horizontal="center" vertical="center"/>
    </xf>
    <xf numFmtId="0" fontId="8" fillId="0" borderId="0" xfId="19" applyFont="1" applyAlignment="1">
      <alignment horizontal="center" vertical="center"/>
    </xf>
    <xf numFmtId="194"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3" fontId="8" fillId="0" borderId="0" xfId="63" applyNumberFormat="1" applyAlignment="1">
      <alignment horizontal="center" vertical="center"/>
    </xf>
    <xf numFmtId="0" fontId="12" fillId="0" borderId="0" xfId="63" applyFont="1" applyAlignment="1">
      <alignment vertical="center"/>
    </xf>
    <xf numFmtId="194"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4"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4"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4"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4"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4"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4"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4"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4"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4"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4"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4" fontId="12" fillId="0" borderId="55" xfId="63" applyNumberFormat="1" applyFont="1" applyBorder="1" applyAlignment="1">
      <alignment horizontal="center" vertical="center"/>
    </xf>
    <xf numFmtId="194"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4"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4"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4"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4"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4" fontId="12" fillId="0" borderId="19" xfId="63" applyNumberFormat="1" applyFont="1" applyBorder="1" applyAlignment="1">
      <alignment vertical="center"/>
    </xf>
    <xf numFmtId="0" fontId="8" fillId="0" borderId="6" xfId="63" applyBorder="1" applyAlignment="1">
      <alignment vertical="center"/>
    </xf>
    <xf numFmtId="194"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5"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5"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91"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72" fontId="9" fillId="0" borderId="0" xfId="49" applyFont="1" applyAlignment="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92" fontId="9" fillId="0" borderId="0" xfId="20" applyNumberFormat="1" applyFont="1" applyAlignment="1">
      <alignment horizontal="center" vertical="center"/>
    </xf>
    <xf numFmtId="172" fontId="9" fillId="0" borderId="0" xfId="49" applyFont="1" applyAlignment="1">
      <alignment vertical="center"/>
    </xf>
    <xf numFmtId="193" fontId="9" fillId="0" borderId="0" xfId="20" applyNumberFormat="1" applyFont="1" applyAlignment="1">
      <alignment horizontal="center" vertical="center"/>
    </xf>
    <xf numFmtId="172"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6" fontId="9" fillId="0" borderId="3" xfId="20" applyNumberFormat="1" applyFont="1" applyBorder="1" applyAlignment="1" applyProtection="1">
      <alignment horizontal="center" vertical="center"/>
      <protection locked="0"/>
    </xf>
    <xf numFmtId="9" fontId="9" fillId="0" borderId="3" xfId="81" applyFont="1" applyBorder="1" applyAlignment="1" applyProtection="1">
      <alignment horizontal="center" vertical="center"/>
      <protection locked="0"/>
    </xf>
    <xf numFmtId="0" fontId="9" fillId="0" borderId="5" xfId="20" applyFont="1" applyBorder="1" applyAlignment="1">
      <alignment vertical="center"/>
    </xf>
    <xf numFmtId="197" fontId="9" fillId="0" borderId="3" xfId="20" applyNumberFormat="1" applyFont="1" applyBorder="1" applyAlignment="1" applyProtection="1">
      <alignment horizontal="center" vertical="center"/>
      <protection locked="0"/>
    </xf>
    <xf numFmtId="198" fontId="9" fillId="0" borderId="3" xfId="81" applyNumberFormat="1" applyFont="1" applyBorder="1" applyAlignment="1" applyProtection="1">
      <alignment horizontal="center" vertical="center"/>
      <protection locked="0"/>
    </xf>
    <xf numFmtId="199" fontId="9" fillId="0" borderId="3" xfId="20" applyNumberFormat="1" applyFont="1" applyBorder="1" applyAlignment="1">
      <alignment horizontal="center" vertical="center"/>
    </xf>
    <xf numFmtId="200" fontId="9" fillId="0" borderId="3" xfId="20" applyNumberFormat="1" applyFont="1" applyBorder="1" applyAlignment="1">
      <alignment horizontal="center" vertical="center"/>
    </xf>
    <xf numFmtId="0" fontId="9" fillId="0" borderId="5" xfId="20" applyFont="1" applyBorder="1"/>
    <xf numFmtId="201" fontId="9" fillId="0" borderId="3" xfId="20" applyNumberFormat="1" applyFont="1" applyBorder="1" applyProtection="1">
      <protection locked="0"/>
    </xf>
    <xf numFmtId="202" fontId="9" fillId="0" borderId="3" xfId="20" applyNumberFormat="1" applyFont="1" applyBorder="1" applyProtection="1">
      <protection locked="0"/>
    </xf>
    <xf numFmtId="203" fontId="9" fillId="0" borderId="3" xfId="20" applyNumberFormat="1" applyFont="1" applyBorder="1" applyAlignment="1" applyProtection="1">
      <alignment horizontal="center" vertical="center"/>
      <protection locked="0"/>
    </xf>
    <xf numFmtId="204" fontId="9" fillId="0" borderId="3" xfId="81" applyNumberFormat="1" applyFont="1" applyBorder="1" applyAlignment="1" applyProtection="1">
      <alignment horizontal="center" vertical="center"/>
      <protection locked="0"/>
    </xf>
    <xf numFmtId="205" fontId="9" fillId="0" borderId="3" xfId="81" applyNumberFormat="1" applyFont="1" applyBorder="1" applyAlignment="1" applyProtection="1">
      <alignment horizontal="center" vertical="center"/>
      <protection locked="0"/>
    </xf>
    <xf numFmtId="206" fontId="9" fillId="0" borderId="3" xfId="20" applyNumberFormat="1" applyFont="1" applyBorder="1" applyAlignment="1">
      <alignment horizontal="center" vertical="center"/>
    </xf>
    <xf numFmtId="207" fontId="9" fillId="0" borderId="3" xfId="20" applyNumberFormat="1" applyFont="1" applyBorder="1" applyAlignment="1">
      <alignment horizontal="center" vertical="center"/>
    </xf>
    <xf numFmtId="207" fontId="9" fillId="0" borderId="0" xfId="20" applyNumberFormat="1" applyFont="1" applyAlignment="1">
      <alignment horizontal="center" vertical="center"/>
    </xf>
    <xf numFmtId="207" fontId="9" fillId="0" borderId="0" xfId="20" applyNumberFormat="1" applyFont="1" applyAlignment="1">
      <alignment horizontal="right" vertical="center"/>
    </xf>
    <xf numFmtId="208" fontId="9" fillId="0" borderId="3" xfId="20" applyNumberFormat="1" applyFont="1" applyBorder="1" applyProtection="1">
      <protection locked="0"/>
    </xf>
    <xf numFmtId="209" fontId="9" fillId="0" borderId="3" xfId="81" applyNumberFormat="1" applyFont="1" applyBorder="1" applyAlignment="1" applyProtection="1">
      <alignment horizontal="center" vertical="center"/>
      <protection locked="0"/>
    </xf>
    <xf numFmtId="193" fontId="13" fillId="0" borderId="3" xfId="0" applyNumberFormat="1" applyFont="1" applyBorder="1" applyAlignment="1">
      <alignment vertical="center"/>
    </xf>
    <xf numFmtId="172"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11" fontId="8" fillId="0" borderId="3" xfId="20" applyNumberFormat="1" applyBorder="1" applyAlignment="1" applyProtection="1">
      <alignment horizontal="center" vertical="center"/>
      <protection hidden="1"/>
    </xf>
    <xf numFmtId="211" fontId="8" fillId="0" borderId="0" xfId="20" applyNumberFormat="1" applyProtection="1">
      <protection hidden="1"/>
    </xf>
    <xf numFmtId="212" fontId="8" fillId="0" borderId="0" xfId="20" applyNumberFormat="1" applyAlignment="1" applyProtection="1">
      <alignment shrinkToFit="1"/>
      <protection hidden="1"/>
    </xf>
    <xf numFmtId="213"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4"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7" fontId="8" fillId="0" borderId="0" xfId="20" applyNumberFormat="1" applyProtection="1">
      <protection hidden="1"/>
    </xf>
    <xf numFmtId="218" fontId="8" fillId="0" borderId="0" xfId="20" applyNumberFormat="1" applyAlignment="1" applyProtection="1">
      <alignment horizontal="center"/>
      <protection hidden="1"/>
    </xf>
    <xf numFmtId="219" fontId="8" fillId="0" borderId="0" xfId="20" applyNumberFormat="1" applyAlignment="1" applyProtection="1">
      <alignment horizontal="center" vertical="center" shrinkToFit="1"/>
      <protection hidden="1"/>
    </xf>
    <xf numFmtId="221" fontId="8" fillId="0" borderId="0" xfId="20" applyNumberFormat="1" applyAlignment="1" applyProtection="1">
      <alignment shrinkToFit="1"/>
      <protection hidden="1"/>
    </xf>
    <xf numFmtId="222" fontId="8" fillId="0" borderId="0" xfId="20" applyNumberFormat="1" applyAlignment="1" applyProtection="1">
      <alignment horizontal="center" shrinkToFit="1"/>
      <protection hidden="1"/>
    </xf>
    <xf numFmtId="223" fontId="8" fillId="0" borderId="0" xfId="20" applyNumberFormat="1" applyAlignment="1" applyProtection="1">
      <alignment horizontal="center"/>
      <protection hidden="1"/>
    </xf>
    <xf numFmtId="224"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3"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3"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81"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locked="0"/>
    </xf>
    <xf numFmtId="229" fontId="9" fillId="0" borderId="3" xfId="20" applyNumberFormat="1" applyFont="1" applyBorder="1" applyAlignment="1" applyProtection="1">
      <alignment horizontal="center" vertical="center"/>
      <protection hidden="1"/>
    </xf>
    <xf numFmtId="210" fontId="9" fillId="0" borderId="3" xfId="20" applyNumberFormat="1" applyFont="1" applyBorder="1" applyAlignment="1" applyProtection="1">
      <alignment horizontal="center" vertical="center"/>
      <protection hidden="1"/>
    </xf>
    <xf numFmtId="230" fontId="11" fillId="0" borderId="3" xfId="20" applyNumberFormat="1" applyFont="1" applyBorder="1" applyAlignment="1" applyProtection="1">
      <alignment horizontal="center" vertical="center"/>
      <protection hidden="1"/>
    </xf>
    <xf numFmtId="230" fontId="8" fillId="0" borderId="0" xfId="20" applyNumberFormat="1" applyAlignment="1" applyProtection="1">
      <alignment vertical="center"/>
      <protection hidden="1"/>
    </xf>
    <xf numFmtId="226" fontId="9" fillId="0" borderId="3" xfId="20" applyNumberFormat="1" applyFont="1" applyBorder="1" applyAlignment="1" applyProtection="1">
      <alignment horizontal="center" vertical="center"/>
      <protection hidden="1"/>
    </xf>
    <xf numFmtId="228" fontId="9" fillId="0" borderId="3" xfId="20" applyNumberFormat="1" applyFont="1" applyBorder="1" applyAlignment="1" applyProtection="1">
      <alignment horizontal="center" vertical="center"/>
      <protection hidden="1"/>
    </xf>
    <xf numFmtId="231"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5" fontId="13" fillId="0" borderId="3" xfId="49" applyNumberFormat="1" applyFont="1" applyBorder="1" applyAlignment="1" applyProtection="1">
      <alignment vertical="center" wrapText="1"/>
      <protection hidden="1"/>
    </xf>
    <xf numFmtId="185" fontId="8" fillId="0" borderId="3" xfId="49" applyNumberFormat="1" applyBorder="1" applyAlignment="1" applyProtection="1">
      <alignment vertical="center"/>
      <protection hidden="1"/>
    </xf>
    <xf numFmtId="4" fontId="8" fillId="0" borderId="8" xfId="0" applyNumberFormat="1" applyFont="1" applyBorder="1" applyAlignment="1" applyProtection="1">
      <alignment vertical="center"/>
      <protection hidden="1"/>
    </xf>
    <xf numFmtId="167"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72" fontId="12" fillId="0" borderId="11" xfId="0" applyNumberFormat="1" applyFont="1" applyBorder="1" applyAlignment="1" applyProtection="1">
      <alignment vertical="center"/>
      <protection hidden="1"/>
    </xf>
    <xf numFmtId="172" fontId="12" fillId="0" borderId="3" xfId="49" applyFont="1" applyBorder="1" applyProtection="1">
      <protection locked="0"/>
    </xf>
    <xf numFmtId="215"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Border="1" applyProtection="1">
      <protection locked="0"/>
    </xf>
    <xf numFmtId="216" fontId="12" fillId="0" borderId="3" xfId="20" applyNumberFormat="1" applyFont="1" applyBorder="1" applyProtection="1">
      <protection locked="0"/>
    </xf>
    <xf numFmtId="218" fontId="12" fillId="0" borderId="3" xfId="20" applyNumberFormat="1" applyFont="1" applyBorder="1" applyProtection="1">
      <protection locked="0"/>
    </xf>
    <xf numFmtId="201" fontId="12" fillId="0" borderId="3" xfId="20" applyNumberFormat="1" applyFont="1" applyBorder="1" applyProtection="1">
      <protection locked="0"/>
    </xf>
    <xf numFmtId="203" fontId="12" fillId="0" borderId="3" xfId="20" applyNumberFormat="1" applyFont="1" applyBorder="1" applyProtection="1">
      <protection locked="0"/>
    </xf>
    <xf numFmtId="220" fontId="12" fillId="0" borderId="3" xfId="20" applyNumberFormat="1" applyFont="1" applyBorder="1" applyProtection="1">
      <protection locked="0"/>
    </xf>
    <xf numFmtId="225" fontId="12" fillId="0" borderId="3" xfId="20" applyNumberFormat="1" applyFont="1" applyBorder="1" applyProtection="1">
      <protection locked="0"/>
    </xf>
    <xf numFmtId="213" fontId="12" fillId="0" borderId="3" xfId="20" applyNumberFormat="1" applyFont="1" applyBorder="1" applyProtection="1">
      <protection locked="0"/>
    </xf>
    <xf numFmtId="172" fontId="12" fillId="0" borderId="3" xfId="49" applyFont="1" applyBorder="1" applyProtection="1">
      <protection hidden="1"/>
    </xf>
    <xf numFmtId="215"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Border="1" applyProtection="1">
      <protection hidden="1"/>
    </xf>
    <xf numFmtId="216" fontId="8" fillId="0" borderId="3" xfId="20" applyNumberFormat="1" applyBorder="1" applyProtection="1">
      <protection hidden="1"/>
    </xf>
    <xf numFmtId="218" fontId="12" fillId="0" borderId="3" xfId="20" applyNumberFormat="1" applyFont="1" applyBorder="1" applyProtection="1">
      <protection hidden="1"/>
    </xf>
    <xf numFmtId="201" fontId="8" fillId="0" borderId="3" xfId="20" applyNumberFormat="1" applyBorder="1" applyProtection="1">
      <protection hidden="1"/>
    </xf>
    <xf numFmtId="203" fontId="8" fillId="0" borderId="3" xfId="20" applyNumberFormat="1" applyBorder="1" applyProtection="1">
      <protection hidden="1"/>
    </xf>
    <xf numFmtId="220" fontId="12" fillId="0" borderId="3" xfId="20" applyNumberFormat="1" applyFont="1" applyBorder="1" applyProtection="1">
      <protection hidden="1"/>
    </xf>
    <xf numFmtId="225" fontId="8" fillId="0" borderId="3" xfId="20" applyNumberFormat="1" applyBorder="1" applyProtection="1">
      <protection hidden="1"/>
    </xf>
    <xf numFmtId="213"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3" fontId="8" fillId="0" borderId="5" xfId="16" applyNumberFormat="1" applyFont="1" applyBorder="1" applyAlignment="1" applyProtection="1">
      <alignment vertical="center"/>
      <protection locked="0"/>
    </xf>
    <xf numFmtId="0" fontId="49" fillId="5" borderId="13" xfId="0" applyFont="1" applyFill="1" applyBorder="1" applyAlignment="1">
      <alignment vertical="center"/>
    </xf>
    <xf numFmtId="172"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92" fontId="13" fillId="0" borderId="3" xfId="0" applyNumberFormat="1" applyFont="1" applyBorder="1" applyAlignment="1" applyProtection="1">
      <alignment horizontal="center" vertical="center"/>
      <protection locked="0"/>
    </xf>
    <xf numFmtId="185" fontId="13" fillId="0" borderId="3" xfId="49" applyNumberFormat="1" applyFont="1" applyBorder="1" applyAlignment="1" applyProtection="1">
      <alignment vertical="center"/>
      <protection hidden="1"/>
    </xf>
    <xf numFmtId="192"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3"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91"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4"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72"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72"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72"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91"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72"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91"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32" fontId="13" fillId="0" borderId="15" xfId="49" applyNumberFormat="1" applyFont="1" applyBorder="1" applyAlignment="1" applyProtection="1">
      <alignment horizontal="right" vertical="center"/>
      <protection hidden="1"/>
    </xf>
    <xf numFmtId="172" fontId="13" fillId="0" borderId="15" xfId="49" applyFont="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72" fontId="13" fillId="0" borderId="3" xfId="49" applyFont="1" applyBorder="1" applyAlignment="1" applyProtection="1">
      <alignment horizontal="right" vertical="center"/>
      <protection hidden="1"/>
    </xf>
    <xf numFmtId="192" fontId="13" fillId="0" borderId="3" xfId="0" applyNumberFormat="1" applyFont="1" applyBorder="1" applyAlignment="1" applyProtection="1">
      <alignment horizontal="center" vertical="center"/>
      <protection hidden="1"/>
    </xf>
    <xf numFmtId="172" fontId="13" fillId="0" borderId="3" xfId="0" applyNumberFormat="1" applyFont="1" applyBorder="1" applyAlignment="1" applyProtection="1">
      <alignment horizontal="center" vertical="center"/>
      <protection hidden="1"/>
    </xf>
    <xf numFmtId="185" fontId="13" fillId="0" borderId="3" xfId="49" applyNumberFormat="1" applyFont="1" applyBorder="1" applyAlignment="1" applyProtection="1">
      <alignment horizontal="center" vertical="center"/>
      <protection hidden="1"/>
    </xf>
    <xf numFmtId="185" fontId="8" fillId="0" borderId="3" xfId="49" applyNumberFormat="1" applyBorder="1" applyAlignment="1">
      <alignment vertical="center"/>
    </xf>
    <xf numFmtId="0" fontId="8" fillId="0" borderId="13" xfId="0" applyFont="1" applyBorder="1" applyAlignment="1">
      <alignment horizontal="center" vertical="center"/>
    </xf>
    <xf numFmtId="172"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Alignment="1">
      <alignment vertical="center"/>
    </xf>
    <xf numFmtId="10" fontId="8" fillId="0" borderId="12" xfId="1" applyNumberFormat="1" applyFont="1" applyBorder="1" applyAlignment="1">
      <alignment vertical="center"/>
    </xf>
    <xf numFmtId="0" fontId="8" fillId="0" borderId="12" xfId="0" applyFont="1" applyBorder="1" applyAlignment="1">
      <alignment vertical="center"/>
    </xf>
    <xf numFmtId="172"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81" fontId="9" fillId="0" borderId="0" xfId="7" applyNumberFormat="1" applyFont="1" applyAlignment="1">
      <alignment horizontal="center" vertical="center"/>
    </xf>
    <xf numFmtId="9" fontId="9" fillId="0" borderId="0" xfId="71" applyFont="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92" fontId="8" fillId="0" borderId="3" xfId="0" applyNumberFormat="1" applyFont="1" applyBorder="1" applyAlignment="1" applyProtection="1">
      <alignment horizontal="right" vertical="center"/>
      <protection locked="0"/>
    </xf>
    <xf numFmtId="184" fontId="8" fillId="0" borderId="3" xfId="49" applyNumberFormat="1" applyBorder="1" applyAlignment="1" applyProtection="1">
      <alignment vertical="center"/>
      <protection locked="0"/>
    </xf>
    <xf numFmtId="0" fontId="8" fillId="0" borderId="0" xfId="20"/>
    <xf numFmtId="184" fontId="8" fillId="0" borderId="3" xfId="49" applyNumberFormat="1" applyBorder="1" applyAlignment="1" applyProtection="1">
      <alignment horizontal="center" vertical="center"/>
      <protection locked="0"/>
    </xf>
    <xf numFmtId="0" fontId="8" fillId="0" borderId="3" xfId="20" applyBorder="1" applyAlignment="1">
      <alignment horizontal="center"/>
    </xf>
    <xf numFmtId="192" fontId="8" fillId="0" borderId="3" xfId="20" applyNumberFormat="1" applyBorder="1" applyAlignment="1" applyProtection="1">
      <alignment horizontal="center" vertical="center"/>
      <protection locked="0"/>
    </xf>
    <xf numFmtId="172" fontId="8" fillId="0" borderId="3" xfId="49"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234" fontId="13" fillId="0" borderId="3" xfId="0" applyNumberFormat="1" applyFont="1" applyBorder="1" applyAlignment="1" applyProtection="1">
      <alignment horizontal="center" vertical="center"/>
      <protection hidden="1"/>
    </xf>
    <xf numFmtId="0" fontId="12" fillId="3" borderId="0" xfId="0" applyFont="1" applyFill="1" applyAlignment="1">
      <alignment vertical="center" wrapText="1"/>
    </xf>
    <xf numFmtId="3" fontId="13" fillId="0" borderId="48" xfId="0" applyNumberFormat="1" applyFont="1" applyBorder="1" applyAlignment="1"/>
    <xf numFmtId="3" fontId="13" fillId="0" borderId="64" xfId="0" applyNumberFormat="1" applyFont="1" applyFill="1" applyBorder="1" applyAlignment="1"/>
    <xf numFmtId="0" fontId="52" fillId="0" borderId="3" xfId="0" applyFont="1" applyBorder="1" applyAlignment="1">
      <alignment horizontal="center"/>
    </xf>
    <xf numFmtId="185" fontId="13" fillId="0" borderId="3" xfId="49" applyNumberFormat="1" applyFont="1" applyFill="1" applyBorder="1" applyAlignment="1" applyProtection="1">
      <alignment vertical="center"/>
      <protection hidden="1"/>
    </xf>
    <xf numFmtId="195" fontId="13" fillId="0" borderId="3" xfId="0" applyNumberFormat="1" applyFont="1" applyBorder="1" applyAlignment="1" applyProtection="1">
      <alignment horizontal="center" vertical="center"/>
      <protection locked="0"/>
    </xf>
    <xf numFmtId="210" fontId="13" fillId="0" borderId="3" xfId="0" applyNumberFormat="1" applyFont="1" applyBorder="1" applyAlignment="1" applyProtection="1">
      <alignment horizontal="center" vertical="center"/>
      <protection locked="0"/>
    </xf>
    <xf numFmtId="185" fontId="8" fillId="0" borderId="3" xfId="2" applyNumberFormat="1" applyFont="1" applyFill="1" applyBorder="1" applyAlignment="1">
      <alignment vertical="center"/>
    </xf>
    <xf numFmtId="185" fontId="8" fillId="0" borderId="3" xfId="49" applyNumberFormat="1" applyFill="1" applyBorder="1" applyAlignment="1">
      <alignment vertical="center"/>
    </xf>
    <xf numFmtId="251" fontId="13" fillId="0" borderId="0" xfId="0" applyNumberFormat="1" applyFont="1" applyAlignment="1" applyProtection="1">
      <alignment horizontal="center" vertical="center"/>
      <protection hidden="1"/>
    </xf>
    <xf numFmtId="172" fontId="13" fillId="0" borderId="3" xfId="49"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3" fontId="13" fillId="0" borderId="64" xfId="0" applyNumberFormat="1" applyFont="1" applyFill="1" applyBorder="1" applyAlignment="1">
      <alignment horizontal="center"/>
    </xf>
    <xf numFmtId="3" fontId="13" fillId="0" borderId="48" xfId="0" applyNumberFormat="1" applyFont="1" applyBorder="1" applyAlignment="1">
      <alignment horizontal="center"/>
    </xf>
    <xf numFmtId="2" fontId="42" fillId="0" borderId="76" xfId="426" applyNumberFormat="1" applyFont="1" applyFill="1" applyBorder="1" applyAlignment="1">
      <alignment horizontal="center" vertical="center"/>
    </xf>
    <xf numFmtId="2" fontId="42" fillId="0" borderId="74" xfId="426" applyNumberFormat="1" applyFont="1" applyBorder="1" applyAlignment="1">
      <alignment horizontal="center" vertical="center"/>
    </xf>
    <xf numFmtId="2" fontId="42" fillId="0" borderId="76" xfId="427" applyNumberFormat="1" applyFont="1" applyFill="1" applyBorder="1" applyAlignment="1">
      <alignment horizontal="center" vertical="center"/>
    </xf>
    <xf numFmtId="2" fontId="42" fillId="0" borderId="74" xfId="427" applyNumberFormat="1" applyFont="1" applyBorder="1" applyAlignment="1">
      <alignment horizontal="center" vertical="center"/>
    </xf>
    <xf numFmtId="2" fontId="42" fillId="0" borderId="76" xfId="428" applyNumberFormat="1" applyFont="1" applyFill="1" applyBorder="1" applyAlignment="1">
      <alignment horizontal="center" vertical="center"/>
    </xf>
    <xf numFmtId="2" fontId="42" fillId="0" borderId="74" xfId="428" applyNumberFormat="1" applyFont="1" applyBorder="1" applyAlignment="1">
      <alignment horizontal="center" vertical="center"/>
    </xf>
    <xf numFmtId="2" fontId="42" fillId="0" borderId="74" xfId="429" applyNumberFormat="1" applyFont="1" applyBorder="1" applyAlignment="1">
      <alignment horizontal="center" vertical="center"/>
    </xf>
    <xf numFmtId="210" fontId="42" fillId="0" borderId="74" xfId="430" applyNumberFormat="1" applyFont="1" applyBorder="1" applyAlignment="1">
      <alignment horizontal="center" vertical="center"/>
    </xf>
    <xf numFmtId="210" fontId="42" fillId="0" borderId="75" xfId="432" applyNumberFormat="1" applyFont="1" applyBorder="1" applyAlignment="1">
      <alignment horizontal="center" vertical="center"/>
    </xf>
    <xf numFmtId="2" fontId="42" fillId="0" borderId="3" xfId="432" applyNumberFormat="1" applyFont="1" applyBorder="1" applyAlignment="1">
      <alignment horizontal="center" vertical="center"/>
    </xf>
    <xf numFmtId="210" fontId="42" fillId="0" borderId="3" xfId="432" applyNumberFormat="1" applyFont="1" applyBorder="1" applyAlignment="1">
      <alignment horizontal="center" vertical="center"/>
    </xf>
    <xf numFmtId="210" fontId="42" fillId="0" borderId="3" xfId="432" applyNumberFormat="1" applyFont="1" applyFill="1" applyBorder="1" applyAlignment="1">
      <alignment horizontal="center" vertical="center"/>
    </xf>
    <xf numFmtId="2" fontId="42" fillId="0" borderId="3" xfId="432" applyNumberFormat="1" applyFont="1" applyFill="1" applyBorder="1" applyAlignment="1">
      <alignment horizontal="center" vertical="center"/>
    </xf>
    <xf numFmtId="2" fontId="42" fillId="0" borderId="74" xfId="433" applyNumberFormat="1" applyFont="1" applyFill="1" applyBorder="1" applyAlignment="1">
      <alignment horizontal="center" vertical="center"/>
    </xf>
    <xf numFmtId="210" fontId="42" fillId="0" borderId="74" xfId="433" applyNumberFormat="1" applyFont="1" applyFill="1" applyBorder="1" applyAlignment="1">
      <alignment horizontal="center" vertical="center"/>
    </xf>
    <xf numFmtId="210" fontId="42" fillId="5" borderId="74" xfId="433" applyNumberFormat="1" applyFont="1" applyFill="1" applyBorder="1" applyAlignment="1">
      <alignment horizontal="center" vertical="center"/>
    </xf>
    <xf numFmtId="179" fontId="8" fillId="0" borderId="0" xfId="1" applyNumberFormat="1" applyFont="1" applyAlignment="1">
      <alignment vertical="center"/>
    </xf>
    <xf numFmtId="10" fontId="8" fillId="2" borderId="0" xfId="1" applyNumberFormat="1" applyFont="1" applyFill="1" applyAlignment="1" applyProtection="1">
      <alignment horizontal="left" vertical="center"/>
      <protection locked="0"/>
    </xf>
    <xf numFmtId="2" fontId="8" fillId="2" borderId="0" xfId="0" applyNumberFormat="1" applyFont="1" applyFill="1" applyAlignment="1" applyProtection="1">
      <alignment horizontal="left" vertical="center"/>
      <protection locked="0"/>
    </xf>
    <xf numFmtId="9" fontId="8" fillId="2" borderId="0" xfId="1" applyFont="1" applyFill="1" applyAlignment="1" applyProtection="1">
      <alignment horizontal="left" vertical="center"/>
      <protection locked="0"/>
    </xf>
    <xf numFmtId="44" fontId="0" fillId="0" borderId="0" xfId="0" applyNumberFormat="1" applyAlignment="1">
      <alignment vertical="center"/>
    </xf>
    <xf numFmtId="252" fontId="13" fillId="0" borderId="0" xfId="0" applyNumberFormat="1" applyFont="1" applyAlignment="1" applyProtection="1">
      <alignment vertical="center"/>
      <protection locked="0"/>
    </xf>
    <xf numFmtId="44" fontId="13" fillId="0" borderId="0" xfId="0" applyNumberFormat="1" applyFont="1" applyAlignment="1" applyProtection="1">
      <alignment vertical="center"/>
      <protection locked="0"/>
    </xf>
    <xf numFmtId="185" fontId="0" fillId="0" borderId="0" xfId="0" applyNumberFormat="1" applyAlignment="1">
      <alignment vertical="center"/>
    </xf>
    <xf numFmtId="10" fontId="90" fillId="35" borderId="3" xfId="363" applyNumberFormat="1" applyFont="1" applyFill="1" applyBorder="1" applyAlignment="1">
      <alignment horizontal="right" vertical="top" wrapText="1"/>
    </xf>
    <xf numFmtId="10" fontId="90" fillId="0" borderId="3" xfId="363" applyNumberFormat="1" applyFont="1" applyFill="1" applyBorder="1" applyAlignment="1">
      <alignment horizontal="right" vertical="top" wrapText="1"/>
    </xf>
    <xf numFmtId="180" fontId="12" fillId="0" borderId="0" xfId="7" applyNumberFormat="1" applyFont="1" applyBorder="1" applyAlignment="1" applyProtection="1">
      <alignment horizontal="center" vertical="center"/>
      <protection hidden="1"/>
    </xf>
    <xf numFmtId="173" fontId="8" fillId="0" borderId="3" xfId="16" applyNumberFormat="1" applyFont="1" applyBorder="1" applyAlignment="1" applyProtection="1">
      <alignment vertical="center"/>
      <protection locked="0"/>
    </xf>
    <xf numFmtId="233" fontId="8" fillId="0" borderId="3" xfId="16" applyNumberFormat="1" applyFont="1" applyBorder="1" applyAlignment="1" applyProtection="1">
      <alignment vertical="center"/>
      <protection locked="0"/>
    </xf>
    <xf numFmtId="173" fontId="8" fillId="0" borderId="7" xfId="16" applyNumberFormat="1" applyFont="1" applyBorder="1" applyAlignment="1" applyProtection="1">
      <alignment vertical="center"/>
      <protection locked="0"/>
    </xf>
    <xf numFmtId="173" fontId="8" fillId="0" borderId="15" xfId="16" applyNumberFormat="1" applyFont="1" applyBorder="1" applyAlignment="1" applyProtection="1">
      <alignment vertical="center"/>
      <protection locked="0"/>
    </xf>
    <xf numFmtId="191" fontId="13" fillId="0" borderId="15" xfId="0" applyNumberFormat="1" applyFont="1" applyBorder="1" applyAlignment="1" applyProtection="1">
      <alignment horizontal="center" vertical="center"/>
      <protection hidden="1"/>
    </xf>
    <xf numFmtId="0" fontId="8" fillId="0" borderId="3" xfId="0" applyFont="1" applyBorder="1" applyAlignment="1">
      <alignment horizontal="center" vertical="center"/>
    </xf>
    <xf numFmtId="253" fontId="8" fillId="0" borderId="3" xfId="0" applyNumberFormat="1" applyFont="1" applyBorder="1" applyAlignment="1">
      <alignment horizontal="center" vertical="center"/>
    </xf>
    <xf numFmtId="195" fontId="13" fillId="0" borderId="3" xfId="0" applyNumberFormat="1" applyFont="1" applyFill="1" applyBorder="1" applyAlignment="1" applyProtection="1">
      <alignment horizontal="center" vertical="center"/>
      <protection locked="0"/>
    </xf>
    <xf numFmtId="0" fontId="8" fillId="0" borderId="3" xfId="0" applyFont="1" applyBorder="1" applyAlignment="1">
      <alignment horizontal="center" vertical="center"/>
    </xf>
    <xf numFmtId="191" fontId="13" fillId="0" borderId="15" xfId="0" applyNumberFormat="1" applyFont="1" applyBorder="1" applyAlignment="1" applyProtection="1">
      <alignment horizontal="center" vertical="center"/>
      <protection hidden="1"/>
    </xf>
    <xf numFmtId="0" fontId="8" fillId="0" borderId="3" xfId="0" applyFont="1" applyBorder="1" applyAlignment="1">
      <alignment horizontal="center" vertical="center"/>
    </xf>
    <xf numFmtId="185" fontId="8" fillId="0" borderId="8" xfId="2" applyNumberFormat="1" applyFont="1" applyFill="1" applyBorder="1" applyAlignment="1">
      <alignment vertical="center"/>
    </xf>
    <xf numFmtId="185" fontId="8" fillId="0" borderId="11" xfId="49" applyNumberFormat="1" applyBorder="1" applyAlignment="1">
      <alignment vertical="center"/>
    </xf>
    <xf numFmtId="9" fontId="13" fillId="0" borderId="0" xfId="16" applyFont="1" applyBorder="1" applyAlignment="1" applyProtection="1">
      <alignment vertical="center"/>
      <protection hidden="1"/>
    </xf>
    <xf numFmtId="9" fontId="13" fillId="0" borderId="0" xfId="7" applyNumberFormat="1" applyFont="1" applyBorder="1" applyAlignment="1" applyProtection="1">
      <alignment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91" fontId="13" fillId="0" borderId="18" xfId="0" applyNumberFormat="1" applyFont="1" applyBorder="1" applyAlignment="1" applyProtection="1">
      <alignment horizontal="center" vertical="center"/>
      <protection hidden="1"/>
    </xf>
    <xf numFmtId="191"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5" fontId="8" fillId="0" borderId="0" xfId="20" applyNumberFormat="1" applyAlignment="1" applyProtection="1">
      <alignment horizontal="center"/>
      <protection hidden="1"/>
    </xf>
    <xf numFmtId="201"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434">
    <cellStyle name="          _x000a__x000a_386grabber=VGA.3GR_x000a__x000a_" xfId="83"/>
    <cellStyle name="          _x000d__x000a_386grabber=VGA.3GR_x000d__x000a_" xfId="84"/>
    <cellStyle name="          _x000d__x000a_386grabber=VGA.3GR_x000d__x000a_ 2" xfId="85"/>
    <cellStyle name="          _x000d__x000a_386grabber=VGA.3GR_x000d__x000a__EZE 2801 - Etapa 1B - PlaCot 00" xfId="86"/>
    <cellStyle name="_609 - REMODELACION LUQ - MO Y MATERIALES" xfId="87"/>
    <cellStyle name="=C:\WINNT\SYSTEM32\COMMAND.COM" xfId="88"/>
    <cellStyle name="=C:\WINNT\SYSTEM32\COMMAND.COM 2" xfId="89"/>
    <cellStyle name="=C:\WINNT\SYSTEM32\COMMAND.COM_C y P Viv. Europea (NATANIA)" xfId="90"/>
    <cellStyle name="20% - Accent1" xfId="91"/>
    <cellStyle name="20% - Accent1 2" xfId="92"/>
    <cellStyle name="20% - Accent1_AEP1850-Preliminar Fase II Edif III y IV" xfId="93"/>
    <cellStyle name="20% - Accent2" xfId="94"/>
    <cellStyle name="20% - Accent2 2" xfId="95"/>
    <cellStyle name="20% - Accent2_AEP1850-Preliminar Fase II Edif III y IV" xfId="96"/>
    <cellStyle name="20% - Accent3" xfId="97"/>
    <cellStyle name="20% - Accent3 2" xfId="98"/>
    <cellStyle name="20% - Accent3_AEP1850-Preliminar Fase II Edif III y IV" xfId="99"/>
    <cellStyle name="20% - Accent4" xfId="100"/>
    <cellStyle name="20% - Accent4 2" xfId="101"/>
    <cellStyle name="20% - Accent4_AEP1850-Preliminar Fase II Edif III y IV" xfId="102"/>
    <cellStyle name="20% - Accent5" xfId="103"/>
    <cellStyle name="20% - Accent5 2" xfId="104"/>
    <cellStyle name="20% - Accent5_AEP1850-Preliminar Fase II Edif III y IV" xfId="105"/>
    <cellStyle name="20% - Accent6" xfId="106"/>
    <cellStyle name="20% - Accent6 2" xfId="107"/>
    <cellStyle name="20% - Accent6_AEP1850-Preliminar Fase II Edif III y IV" xfId="108"/>
    <cellStyle name="40% - Accent1" xfId="109"/>
    <cellStyle name="40% - Accent1 2" xfId="110"/>
    <cellStyle name="40% - Accent1_AEP1850-Preliminar Fase II Edif III y IV" xfId="111"/>
    <cellStyle name="40% - Accent2" xfId="112"/>
    <cellStyle name="40% - Accent2 2" xfId="113"/>
    <cellStyle name="40% - Accent2_AEP1850-Preliminar Fase II Edif III y IV" xfId="114"/>
    <cellStyle name="40% - Accent3" xfId="115"/>
    <cellStyle name="40% - Accent3 2" xfId="116"/>
    <cellStyle name="40% - Accent3_AEP1850-Preliminar Fase II Edif III y IV" xfId="117"/>
    <cellStyle name="40% - Accent4" xfId="118"/>
    <cellStyle name="40% - Accent4 2" xfId="119"/>
    <cellStyle name="40% - Accent4_AEP1850-Preliminar Fase II Edif III y IV" xfId="120"/>
    <cellStyle name="40% - Accent5" xfId="121"/>
    <cellStyle name="40% - Accent5 2" xfId="122"/>
    <cellStyle name="40% - Accent5_AEP1850-Preliminar Fase II Edif III y IV" xfId="123"/>
    <cellStyle name="40% - Accent6" xfId="124"/>
    <cellStyle name="40% - Accent6 2" xfId="125"/>
    <cellStyle name="40% - Accent6_AEP1850-Preliminar Fase II Edif III y IV" xfId="126"/>
    <cellStyle name="60% - Accent1" xfId="127"/>
    <cellStyle name="60% - Accent2" xfId="128"/>
    <cellStyle name="60% - Accent3" xfId="129"/>
    <cellStyle name="60% - Accent4" xfId="130"/>
    <cellStyle name="60% - Accent5" xfId="131"/>
    <cellStyle name="60% - Accent6" xfId="132"/>
    <cellStyle name="ac" xfId="133"/>
    <cellStyle name="Accent1" xfId="134"/>
    <cellStyle name="Accent2" xfId="135"/>
    <cellStyle name="Accent3" xfId="136"/>
    <cellStyle name="Accent4" xfId="137"/>
    <cellStyle name="Accent5" xfId="138"/>
    <cellStyle name="Accent6" xfId="139"/>
    <cellStyle name="ANCLAS,REZONES Y SUS PARTES,DE FUNDICION,DE HIERRO O DE ACERO" xfId="140"/>
    <cellStyle name="arial12" xfId="141"/>
    <cellStyle name="arial14" xfId="142"/>
    <cellStyle name="Bad" xfId="143"/>
    <cellStyle name="barra" xfId="144"/>
    <cellStyle name="Bold 11" xfId="145"/>
    <cellStyle name="Cabece" xfId="146"/>
    <cellStyle name="Cabece 2" xfId="147"/>
    <cellStyle name="Cabecera 1" xfId="30"/>
    <cellStyle name="Cabecera 1 2" xfId="148"/>
    <cellStyle name="Cabecera 2" xfId="31"/>
    <cellStyle name="Cabecera 2 2" xfId="149"/>
    <cellStyle name="Calculation" xfId="150"/>
    <cellStyle name="Check Cell" xfId="151"/>
    <cellStyle name="Comma" xfId="152"/>
    <cellStyle name="Comma [0]" xfId="153"/>
    <cellStyle name="Comma_CifrasATexto" xfId="154"/>
    <cellStyle name="Currency (0)" xfId="155"/>
    <cellStyle name="Currency (2)" xfId="156"/>
    <cellStyle name="Currency [0]" xfId="157"/>
    <cellStyle name="Currency_8003 - 8004 Procurement Plan modified 7-30-99" xfId="158"/>
    <cellStyle name="Date" xfId="159"/>
    <cellStyle name="Date-Time" xfId="160"/>
    <cellStyle name="Decimal 1" xfId="161"/>
    <cellStyle name="Decimal 2" xfId="162"/>
    <cellStyle name="Decimal 3" xfId="163"/>
    <cellStyle name="Dia" xfId="8"/>
    <cellStyle name="ENCABEZ" xfId="164"/>
    <cellStyle name="Encabez1" xfId="9"/>
    <cellStyle name="Encabez1 2" xfId="165"/>
    <cellStyle name="Encabez2" xfId="10"/>
    <cellStyle name="Encabez2 2" xfId="166"/>
    <cellStyle name="Encabezado 1" xfId="32"/>
    <cellStyle name="Encabezado 2" xfId="33"/>
    <cellStyle name="Énfasis1 - 20%" xfId="167"/>
    <cellStyle name="Énfasis1 - 20% 2" xfId="168"/>
    <cellStyle name="Énfasis1 - 20%_AEP1850-Preliminar Fase II Edif III y IV" xfId="169"/>
    <cellStyle name="Énfasis1 - 40%" xfId="170"/>
    <cellStyle name="Énfasis1 - 40% 2" xfId="171"/>
    <cellStyle name="Énfasis1 - 40%_AEP1850-Preliminar Fase II Edif III y IV" xfId="172"/>
    <cellStyle name="Énfasis1 - 60%" xfId="173"/>
    <cellStyle name="Énfasis2 - 20%" xfId="174"/>
    <cellStyle name="Énfasis2 - 20% 2" xfId="175"/>
    <cellStyle name="Énfasis2 - 20%_AEP1850-Preliminar Fase II Edif III y IV" xfId="176"/>
    <cellStyle name="Énfasis2 - 40%" xfId="177"/>
    <cellStyle name="Énfasis2 - 40% 2" xfId="178"/>
    <cellStyle name="Énfasis2 - 40%_AEP1850-Preliminar Fase II Edif III y IV" xfId="179"/>
    <cellStyle name="Énfasis2 - 60%" xfId="180"/>
    <cellStyle name="Énfasis3 - 20%" xfId="181"/>
    <cellStyle name="Énfasis3 - 20% 2" xfId="182"/>
    <cellStyle name="Énfasis3 - 20%_AEP1850-Preliminar Fase II Edif III y IV" xfId="183"/>
    <cellStyle name="Énfasis3 - 40%" xfId="184"/>
    <cellStyle name="Énfasis3 - 40% 2" xfId="185"/>
    <cellStyle name="Énfasis3 - 40%_AEP1850-Preliminar Fase II Edif III y IV" xfId="186"/>
    <cellStyle name="Énfasis3 - 60%" xfId="187"/>
    <cellStyle name="Énfasis4 - 20%" xfId="188"/>
    <cellStyle name="Énfasis4 - 20% 2" xfId="189"/>
    <cellStyle name="Énfasis4 - 20%_AEP1850-Preliminar Fase II Edif III y IV" xfId="190"/>
    <cellStyle name="Énfasis4 - 40%" xfId="191"/>
    <cellStyle name="Énfasis4 - 40% 2" xfId="192"/>
    <cellStyle name="Énfasis4 - 40%_AEP1850-Preliminar Fase II Edif III y IV" xfId="193"/>
    <cellStyle name="Énfasis4 - 60%" xfId="194"/>
    <cellStyle name="Énfasis5 - 20%" xfId="195"/>
    <cellStyle name="Énfasis5 - 20% 2" xfId="196"/>
    <cellStyle name="Énfasis5 - 20%_AEP1850-Preliminar Fase II Edif III y IV" xfId="197"/>
    <cellStyle name="Énfasis5 - 40%" xfId="198"/>
    <cellStyle name="Énfasis5 - 40% 2" xfId="199"/>
    <cellStyle name="Énfasis5 - 40%_AEP1850-Preliminar Fase II Edif III y IV" xfId="200"/>
    <cellStyle name="Énfasis5 - 60%" xfId="201"/>
    <cellStyle name="Énfasis6 - 20%" xfId="202"/>
    <cellStyle name="Énfasis6 - 20% 2" xfId="203"/>
    <cellStyle name="Énfasis6 - 20%_AEP1850-Preliminar Fase II Edif III y IV" xfId="204"/>
    <cellStyle name="Énfasis6 - 40%" xfId="205"/>
    <cellStyle name="Énfasis6 - 40% 2" xfId="206"/>
    <cellStyle name="Énfasis6 - 40%_AEP1850-Preliminar Fase II Edif III y IV" xfId="207"/>
    <cellStyle name="Énfasis6 - 60%" xfId="208"/>
    <cellStyle name="Estilo 1" xfId="209"/>
    <cellStyle name="Estilo 2" xfId="210"/>
    <cellStyle name="Euro" xfId="11"/>
    <cellStyle name="Euro 2" xfId="34"/>
    <cellStyle name="Euro 2 2" xfId="211"/>
    <cellStyle name="Euro 3" xfId="212"/>
    <cellStyle name="Euro 4" xfId="213"/>
    <cellStyle name="Euro_COR 265 -  Remod Terminal - Fase II" xfId="214"/>
    <cellStyle name="Excel Built-in Excel Built-in Excel Built-in Excel Built-in Excel Built-in Excel Built-in Excel Built-in Excel Built-in Excel Built-in Excel Built-in Normal" xfId="215"/>
    <cellStyle name="Excel Built-in Normal" xfId="216"/>
    <cellStyle name="Explanatory Text" xfId="217"/>
    <cellStyle name="F2" xfId="35"/>
    <cellStyle name="F3" xfId="36"/>
    <cellStyle name="F4" xfId="37"/>
    <cellStyle name="F4 2" xfId="218"/>
    <cellStyle name="F5" xfId="38"/>
    <cellStyle name="F6" xfId="39"/>
    <cellStyle name="F7" xfId="40"/>
    <cellStyle name="F8" xfId="41"/>
    <cellStyle name="F8 2" xfId="219"/>
    <cellStyle name="Fecha" xfId="42"/>
    <cellStyle name="Fecha 2" xfId="220"/>
    <cellStyle name="Fijo" xfId="12"/>
    <cellStyle name="Fijo 2" xfId="43"/>
    <cellStyle name="Financiero" xfId="13"/>
    <cellStyle name="Fixed" xfId="221"/>
    <cellStyle name="Good" xfId="222"/>
    <cellStyle name="Grey" xfId="223"/>
    <cellStyle name="Header1" xfId="224"/>
    <cellStyle name="Header2" xfId="225"/>
    <cellStyle name="Heading 1" xfId="226"/>
    <cellStyle name="Heading 2" xfId="227"/>
    <cellStyle name="Heading 3" xfId="228"/>
    <cellStyle name="Heading 4" xfId="229"/>
    <cellStyle name="Heading1" xfId="230"/>
    <cellStyle name="Heading2" xfId="231"/>
    <cellStyle name="Hipervínculo 2" xfId="232"/>
    <cellStyle name="Hipervínculo 2 2" xfId="233"/>
    <cellStyle name="Hipervínculo 2_AEP1850-Preliminar Fase II Edif III y IV" xfId="234"/>
    <cellStyle name="Hipervínculo 3" xfId="235"/>
    <cellStyle name="Input" xfId="236"/>
    <cellStyle name="Input %" xfId="237"/>
    <cellStyle name="Input [yellow]" xfId="238"/>
    <cellStyle name="Input 1" xfId="239"/>
    <cellStyle name="Input 3" xfId="240"/>
    <cellStyle name="Input_Aeroparque-CintaArrib-PlaCot-001" xfId="241"/>
    <cellStyle name="Linked Cell" xfId="242"/>
    <cellStyle name="Millares [0] 2" xfId="243"/>
    <cellStyle name="Millares 10" xfId="244"/>
    <cellStyle name="Millares 11" xfId="245"/>
    <cellStyle name="Millares 12" xfId="246"/>
    <cellStyle name="Millares 13" xfId="247"/>
    <cellStyle name="Millares 14" xfId="248"/>
    <cellStyle name="Millares 14 2" xfId="249"/>
    <cellStyle name="Millares 15" xfId="250"/>
    <cellStyle name="Millares 15 2" xfId="251"/>
    <cellStyle name="Millares 16" xfId="252"/>
    <cellStyle name="Millares 16 2" xfId="253"/>
    <cellStyle name="Millares 17" xfId="254"/>
    <cellStyle name="Millares 17 2" xfId="255"/>
    <cellStyle name="Millares 18" xfId="256"/>
    <cellStyle name="Millares 19" xfId="257"/>
    <cellStyle name="Millares 2" xfId="21"/>
    <cellStyle name="Millares 2 2" xfId="22"/>
    <cellStyle name="Millares 2 2 2" xfId="44"/>
    <cellStyle name="Millares 2 2 3" xfId="259"/>
    <cellStyle name="Millares 2 3" xfId="45"/>
    <cellStyle name="Millares 2 3 2" xfId="260"/>
    <cellStyle name="Millares 2 4" xfId="46"/>
    <cellStyle name="Millares 2 5" xfId="261"/>
    <cellStyle name="Millares 2 6" xfId="258"/>
    <cellStyle name="Millares 2_COR265-Remod Oficinas paq I y II-Fase II" xfId="262"/>
    <cellStyle name="Millares 20" xfId="263"/>
    <cellStyle name="Millares 21" xfId="264"/>
    <cellStyle name="Millares 22" xfId="265"/>
    <cellStyle name="Millares 23" xfId="266"/>
    <cellStyle name="Millares 24" xfId="411"/>
    <cellStyle name="Millares 25" xfId="410"/>
    <cellStyle name="Millares 26" xfId="412"/>
    <cellStyle name="Millares 27" xfId="409"/>
    <cellStyle name="Millares 28" xfId="413"/>
    <cellStyle name="Millares 29" xfId="408"/>
    <cellStyle name="Millares 3" xfId="23"/>
    <cellStyle name="Millares 3 2" xfId="47"/>
    <cellStyle name="Millares 3 3" xfId="267"/>
    <cellStyle name="Millares 30" xfId="414"/>
    <cellStyle name="Millares 31" xfId="407"/>
    <cellStyle name="Millares 32" xfId="415"/>
    <cellStyle name="Millares 33" xfId="406"/>
    <cellStyle name="Millares 34" xfId="416"/>
    <cellStyle name="Millares 4" xfId="24"/>
    <cellStyle name="Millares 4 2" xfId="269"/>
    <cellStyle name="Millares 4 3" xfId="270"/>
    <cellStyle name="Millares 4 4" xfId="268"/>
    <cellStyle name="Millares 5" xfId="25"/>
    <cellStyle name="Millares 5 2" xfId="271"/>
    <cellStyle name="Millares 6" xfId="29"/>
    <cellStyle name="Millares 6 2" xfId="272"/>
    <cellStyle name="Millares 6 3" xfId="273"/>
    <cellStyle name="Millares 6_AEP1850-Preliminar Fase II Edif III y IV" xfId="274"/>
    <cellStyle name="Millares 7" xfId="275"/>
    <cellStyle name="Millares 7 2" xfId="276"/>
    <cellStyle name="Millares 8" xfId="277"/>
    <cellStyle name="Millares 9" xfId="278"/>
    <cellStyle name="Milliers [0]_EDYAN" xfId="279"/>
    <cellStyle name="Milliers_EDYAN" xfId="280"/>
    <cellStyle name="Moneda" xfId="2" builtinId="4"/>
    <cellStyle name="Moneda [0] 2" xfId="282"/>
    <cellStyle name="Moneda [0] 2 2" xfId="283"/>
    <cellStyle name="Moneda [0] 3" xfId="284"/>
    <cellStyle name="Moneda [0] 4" xfId="285"/>
    <cellStyle name="Moneda [0] 5" xfId="286"/>
    <cellStyle name="Moneda [0] 6" xfId="281"/>
    <cellStyle name="Moneda 10" xfId="287"/>
    <cellStyle name="Moneda 11" xfId="288"/>
    <cellStyle name="Moneda 11 2" xfId="289"/>
    <cellStyle name="Moneda 12" xfId="290"/>
    <cellStyle name="Moneda 13" xfId="291"/>
    <cellStyle name="Moneda 14" xfId="292"/>
    <cellStyle name="Moneda 15" xfId="421"/>
    <cellStyle name="Moneda 16" xfId="405"/>
    <cellStyle name="Moneda 17" xfId="417"/>
    <cellStyle name="Moneda 18" xfId="404"/>
    <cellStyle name="Moneda 19" xfId="418"/>
    <cellStyle name="Moneda 2" xfId="28"/>
    <cellStyle name="Moneda 2 2" xfId="48"/>
    <cellStyle name="Moneda 2 2 2" xfId="294"/>
    <cellStyle name="Moneda 2 3" xfId="295"/>
    <cellStyle name="Moneda 2 4" xfId="293"/>
    <cellStyle name="Moneda 2_03-MARZO-15" xfId="296"/>
    <cellStyle name="Moneda 20" xfId="403"/>
    <cellStyle name="Moneda 21" xfId="419"/>
    <cellStyle name="Moneda 22" xfId="402"/>
    <cellStyle name="Moneda 23" xfId="420"/>
    <cellStyle name="Moneda 24" xfId="401"/>
    <cellStyle name="Moneda 25" xfId="422"/>
    <cellStyle name="Moneda 26" xfId="400"/>
    <cellStyle name="Moneda 3" xfId="49"/>
    <cellStyle name="Moneda 3 2" xfId="50"/>
    <cellStyle name="Moneda 3 2 2" xfId="298"/>
    <cellStyle name="Moneda 3 3" xfId="297"/>
    <cellStyle name="Moneda 3_03-MARZO-15" xfId="299"/>
    <cellStyle name="Moneda 4" xfId="51"/>
    <cellStyle name="Moneda 4 2" xfId="301"/>
    <cellStyle name="Moneda 4 2 2" xfId="302"/>
    <cellStyle name="Moneda 4 3" xfId="303"/>
    <cellStyle name="Moneda 4 4" xfId="304"/>
    <cellStyle name="Moneda 4 5" xfId="300"/>
    <cellStyle name="Moneda 4_CRD3571 Nva Termina - Obra Civil -  Planilla de Cotización Rev.1" xfId="305"/>
    <cellStyle name="Moneda 5" xfId="52"/>
    <cellStyle name="Moneda 6" xfId="53"/>
    <cellStyle name="Moneda 6 2" xfId="306"/>
    <cellStyle name="Moneda 7" xfId="307"/>
    <cellStyle name="Moneda 8" xfId="308"/>
    <cellStyle name="Moneda 9" xfId="309"/>
    <cellStyle name="Moneda 9 2" xfId="310"/>
    <cellStyle name="Moneda0" xfId="54"/>
    <cellStyle name="Monétaire [0]_EDYAN" xfId="311"/>
    <cellStyle name="Monétaire_EDYAN" xfId="312"/>
    <cellStyle name="Monetario" xfId="14"/>
    <cellStyle name="Monetario 2" xfId="55"/>
    <cellStyle name="Monetario 3" xfId="313"/>
    <cellStyle name="Monetario0" xfId="56"/>
    <cellStyle name="Monetario0 2" xfId="314"/>
    <cellStyle name="Month" xfId="315"/>
    <cellStyle name="No-definido" xfId="15"/>
    <cellStyle name="No-definido 2" xfId="316"/>
    <cellStyle name="Normal" xfId="0" builtinId="0"/>
    <cellStyle name="Normal - Style1" xfId="317"/>
    <cellStyle name="Normal 10" xfId="318"/>
    <cellStyle name="Normal 11" xfId="319"/>
    <cellStyle name="Normal 12" xfId="320"/>
    <cellStyle name="Normal 13" xfId="321"/>
    <cellStyle name="Normal 14" xfId="322"/>
    <cellStyle name="Normal 14 2" xfId="323"/>
    <cellStyle name="Normal 15" xfId="324"/>
    <cellStyle name="Normal 16" xfId="325"/>
    <cellStyle name="Normal 17" xfId="326"/>
    <cellStyle name="Normal 18" xfId="327"/>
    <cellStyle name="Normal 19" xfId="328"/>
    <cellStyle name="Normal 2" xfId="3"/>
    <cellStyle name="Normal 2 2" xfId="20"/>
    <cellStyle name="Normal 2 2 2" xfId="19"/>
    <cellStyle name="Normal 2 2 2 2" xfId="329"/>
    <cellStyle name="Normal 2 3" xfId="57"/>
    <cellStyle name="Normal 2 3 2" xfId="330"/>
    <cellStyle name="Normal 2 4" xfId="58"/>
    <cellStyle name="Normal 2 4 2" xfId="331"/>
    <cellStyle name="Normal 2_LICITACION HIGIENE URBANA CON CURVAS" xfId="332"/>
    <cellStyle name="Normal 20" xfId="333"/>
    <cellStyle name="Normal 21" xfId="334"/>
    <cellStyle name="Normal 22" xfId="335"/>
    <cellStyle name="Normal 23" xfId="82"/>
    <cellStyle name="Normal 24" xfId="336"/>
    <cellStyle name="Normal 25" xfId="423"/>
    <cellStyle name="Normal 26" xfId="424"/>
    <cellStyle name="Normal 27" xfId="425"/>
    <cellStyle name="Normal 28" xfId="426"/>
    <cellStyle name="Normal 29" xfId="427"/>
    <cellStyle name="Normal 3" xfId="7"/>
    <cellStyle name="Normal 3 2" xfId="59"/>
    <cellStyle name="Normal 3 2 2" xfId="337"/>
    <cellStyle name="Normal 3 3" xfId="60"/>
    <cellStyle name="Normal 3 4" xfId="61"/>
    <cellStyle name="Normal 3 5" xfId="62"/>
    <cellStyle name="Normal 3_03-MARZO-15" xfId="338"/>
    <cellStyle name="Normal 30" xfId="428"/>
    <cellStyle name="Normal 31" xfId="429"/>
    <cellStyle name="Normal 32" xfId="430"/>
    <cellStyle name="Normal 33" xfId="431"/>
    <cellStyle name="Normal 34" xfId="432"/>
    <cellStyle name="Normal 35" xfId="433"/>
    <cellStyle name="Normal 4" xfId="26"/>
    <cellStyle name="Normal 4 2" xfId="63"/>
    <cellStyle name="Normal 4 3" xfId="64"/>
    <cellStyle name="Normal 40" xfId="339"/>
    <cellStyle name="Normal 41" xfId="340"/>
    <cellStyle name="Normal 5" xfId="65"/>
    <cellStyle name="Normal 5 2" xfId="66"/>
    <cellStyle name="Normal 5 3" xfId="341"/>
    <cellStyle name="Normal 6" xfId="27"/>
    <cellStyle name="Normal 6 2" xfId="67"/>
    <cellStyle name="Normal 6 2 2" xfId="343"/>
    <cellStyle name="Normal 6 3" xfId="342"/>
    <cellStyle name="Normal 6_AEP1850-Preliminar Fase II Edif III y IV" xfId="344"/>
    <cellStyle name="Normal 7" xfId="68"/>
    <cellStyle name="Normal 7 2" xfId="345"/>
    <cellStyle name="Normal 8" xfId="69"/>
    <cellStyle name="Normal 8 2" xfId="347"/>
    <cellStyle name="Normal 8 3" xfId="348"/>
    <cellStyle name="Normal 8 4" xfId="346"/>
    <cellStyle name="Normal 8_AEP1850-Preliminar Fase II Edif III y IV" xfId="349"/>
    <cellStyle name="Normal 9" xfId="70"/>
    <cellStyle name="Normal 9 2" xfId="350"/>
    <cellStyle name="Normal_Analisis de precios AGOSTO 2004" xfId="6"/>
    <cellStyle name="Normal_LICITACION ESCUELA CAUCETE" xfId="5"/>
    <cellStyle name="Normale_QUADRI T3 ra" xfId="351"/>
    <cellStyle name="Note" xfId="352"/>
    <cellStyle name="Output" xfId="353"/>
    <cellStyle name="Percent ()" xfId="354"/>
    <cellStyle name="Percent (0)" xfId="355"/>
    <cellStyle name="Percent (1)" xfId="356"/>
    <cellStyle name="Percent [2]" xfId="357"/>
    <cellStyle name="Percent 1" xfId="358"/>
    <cellStyle name="Percent 2" xfId="359"/>
    <cellStyle name="PESOS" xfId="360"/>
    <cellStyle name="PLANILLA" xfId="361"/>
    <cellStyle name="PORCENT" xfId="362"/>
    <cellStyle name="Porcentaje" xfId="1" builtinId="5"/>
    <cellStyle name="Porcentaje 2" xfId="4"/>
    <cellStyle name="Porcentaje 2 2" xfId="71"/>
    <cellStyle name="Porcentaje 3" xfId="16"/>
    <cellStyle name="Porcentaje 3 2" xfId="72"/>
    <cellStyle name="Porcentaje 3 3" xfId="363"/>
    <cellStyle name="Porcentaje 4" xfId="73"/>
    <cellStyle name="Porcentaje 4 2" xfId="74"/>
    <cellStyle name="Porcentaje 4 3" xfId="75"/>
    <cellStyle name="Porcentaje 4 3 2" xfId="81"/>
    <cellStyle name="Porcentaje 5" xfId="76"/>
    <cellStyle name="Porcentaje 5 2" xfId="77"/>
    <cellStyle name="Porcentaje 6" xfId="364"/>
    <cellStyle name="Porcentual 2" xfId="365"/>
    <cellStyle name="Porcentual 2 2" xfId="366"/>
    <cellStyle name="Porcentual 2 2 2" xfId="367"/>
    <cellStyle name="Porcentual 2 2 3" xfId="368"/>
    <cellStyle name="Porcentual 2 2_OFERTA UNRN BARILOCHE (Precio a Enero-16) Rev 01" xfId="369"/>
    <cellStyle name="Porcentual 2 3" xfId="370"/>
    <cellStyle name="Porcentual 2 4" xfId="371"/>
    <cellStyle name="Porcentual 2 4 2" xfId="372"/>
    <cellStyle name="Porcentual 2 4 3" xfId="373"/>
    <cellStyle name="Porcentual 3" xfId="374"/>
    <cellStyle name="Porcentual 3 2" xfId="375"/>
    <cellStyle name="Porcentual 4" xfId="376"/>
    <cellStyle name="Porcentual 4 2" xfId="377"/>
    <cellStyle name="Porcentual 5" xfId="378"/>
    <cellStyle name="Porcentual 6" xfId="379"/>
    <cellStyle name="Porcentual 6 2" xfId="380"/>
    <cellStyle name="Porcentual 7" xfId="381"/>
    <cellStyle name="Porcentual 8" xfId="382"/>
    <cellStyle name="Porcentual 9" xfId="383"/>
    <cellStyle name="Punto" xfId="17"/>
    <cellStyle name="Punto 2" xfId="78"/>
    <cellStyle name="Punto 3" xfId="384"/>
    <cellStyle name="Punto0" xfId="18"/>
    <cellStyle name="Punto0 2" xfId="79"/>
    <cellStyle name="Punto0 3" xfId="385"/>
    <cellStyle name="RAMEY" xfId="386"/>
    <cellStyle name="Ramey $k" xfId="387"/>
    <cellStyle name="RAMEY_P&amp;O BKUP" xfId="388"/>
    <cellStyle name="recuadro" xfId="389"/>
    <cellStyle name="Shaded" xfId="390"/>
    <cellStyle name="Sum" xfId="391"/>
    <cellStyle name="Sum %of HV" xfId="392"/>
    <cellStyle name="Thousands (0)" xfId="393"/>
    <cellStyle name="Thousands (1)" xfId="394"/>
    <cellStyle name="time" xfId="395"/>
    <cellStyle name="Title" xfId="396"/>
    <cellStyle name="Total 2" xfId="80"/>
    <cellStyle name="Underline 2" xfId="397"/>
    <cellStyle name="Warning Text" xfId="398"/>
    <cellStyle name="Year" xfId="399"/>
  </cellStyles>
  <dxfs count="15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PTyCI!$E$83:$W$83</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PTyCI!$E$84:$W$84</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37887680"/>
        <c:axId val="337893168"/>
      </c:lineChart>
      <c:catAx>
        <c:axId val="3378876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37893168"/>
        <c:crossesAt val="0"/>
        <c:auto val="1"/>
        <c:lblAlgn val="ctr"/>
        <c:lblOffset val="100"/>
        <c:noMultiLvlLbl val="0"/>
      </c:catAx>
      <c:valAx>
        <c:axId val="3378931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33788768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PTyCI!$E$86:$W$86</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PTyCI!$E$87:$W$87</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37893560"/>
        <c:axId val="337889640"/>
      </c:lineChart>
      <c:catAx>
        <c:axId val="3378935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37889640"/>
        <c:crosses val="autoZero"/>
        <c:auto val="1"/>
        <c:lblAlgn val="ctr"/>
        <c:lblOffset val="100"/>
        <c:noMultiLvlLbl val="0"/>
      </c:catAx>
      <c:valAx>
        <c:axId val="3378896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378935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7" sqref="A7"/>
    </sheetView>
  </sheetViews>
  <sheetFormatPr baseColWidth="10" defaultColWidth="11.42578125" defaultRowHeight="12.75"/>
  <cols>
    <col min="1" max="1" width="148.5703125" style="576" customWidth="1"/>
    <col min="2" max="16384" width="11.42578125" style="576"/>
  </cols>
  <sheetData>
    <row r="1" spans="1:7" ht="30" customHeight="1">
      <c r="A1" s="579" t="s">
        <v>945</v>
      </c>
    </row>
    <row r="2" spans="1:7" ht="165">
      <c r="A2" s="577" t="s">
        <v>2058</v>
      </c>
    </row>
    <row r="3" spans="1:7" ht="30" customHeight="1">
      <c r="A3" s="579" t="s">
        <v>946</v>
      </c>
    </row>
    <row r="4" spans="1:7" ht="30" customHeight="1">
      <c r="A4" s="579" t="s">
        <v>965</v>
      </c>
    </row>
    <row r="5" spans="1:7" ht="195">
      <c r="A5" s="582" t="s">
        <v>2059</v>
      </c>
    </row>
    <row r="6" spans="1:7" ht="105.75">
      <c r="A6" s="582" t="s">
        <v>2057</v>
      </c>
      <c r="B6" s="580"/>
      <c r="C6" s="580"/>
      <c r="D6" s="580"/>
      <c r="E6" s="580"/>
      <c r="F6" s="580"/>
      <c r="G6" s="580"/>
    </row>
    <row r="7" spans="1:7" ht="60">
      <c r="A7" s="582" t="s">
        <v>2056</v>
      </c>
      <c r="B7" s="580"/>
      <c r="C7" s="580"/>
      <c r="D7" s="580"/>
      <c r="E7" s="580"/>
      <c r="F7" s="580"/>
      <c r="G7" s="580"/>
    </row>
    <row r="8" spans="1:7" ht="165">
      <c r="A8" s="582" t="s">
        <v>2060</v>
      </c>
      <c r="B8" s="580"/>
      <c r="C8" s="580"/>
      <c r="D8" s="580"/>
      <c r="E8" s="580"/>
      <c r="F8" s="580"/>
      <c r="G8" s="580"/>
    </row>
    <row r="9" spans="1:7" ht="15">
      <c r="A9" s="577" t="s">
        <v>966</v>
      </c>
      <c r="B9" s="580"/>
      <c r="C9" s="580"/>
      <c r="D9" s="580"/>
      <c r="E9" s="580"/>
      <c r="F9" s="580"/>
      <c r="G9" s="580"/>
    </row>
    <row r="10" spans="1:7" ht="45" customHeight="1">
      <c r="A10" s="577" t="s">
        <v>967</v>
      </c>
      <c r="B10" s="580"/>
      <c r="C10" s="580"/>
      <c r="D10" s="580"/>
      <c r="E10" s="580"/>
      <c r="F10" s="580"/>
      <c r="G10" s="580"/>
    </row>
    <row r="11" spans="1:7" ht="30">
      <c r="A11" s="577" t="s">
        <v>969</v>
      </c>
      <c r="B11" s="580" t="s">
        <v>3</v>
      </c>
      <c r="C11" s="580"/>
      <c r="D11" s="580"/>
      <c r="E11" s="580"/>
      <c r="F11" s="580"/>
      <c r="G11" s="580"/>
    </row>
    <row r="12" spans="1:7" ht="15">
      <c r="A12" s="577" t="s">
        <v>2055</v>
      </c>
      <c r="B12" s="580"/>
      <c r="C12" s="580"/>
      <c r="D12" s="580"/>
      <c r="E12" s="580"/>
      <c r="F12" s="580"/>
      <c r="G12" s="580"/>
    </row>
    <row r="13" spans="1:7" ht="47.25">
      <c r="A13" s="581" t="s">
        <v>2054</v>
      </c>
      <c r="B13" s="580"/>
      <c r="C13" s="580"/>
      <c r="D13" s="580"/>
      <c r="E13" s="580"/>
      <c r="F13" s="580"/>
      <c r="G13" s="580"/>
    </row>
    <row r="14" spans="1:7" ht="30" customHeight="1">
      <c r="A14" s="579" t="s">
        <v>975</v>
      </c>
    </row>
    <row r="15" spans="1:7" ht="150">
      <c r="A15" s="577" t="s">
        <v>2064</v>
      </c>
    </row>
    <row r="16" spans="1:7" ht="45" customHeight="1">
      <c r="A16" s="577" t="s">
        <v>2053</v>
      </c>
      <c r="B16" s="580"/>
      <c r="C16" s="580"/>
      <c r="D16" s="580"/>
      <c r="E16" s="580"/>
      <c r="F16" s="580"/>
      <c r="G16" s="580"/>
    </row>
    <row r="17" spans="1:7" ht="30" customHeight="1">
      <c r="A17" s="579" t="s">
        <v>947</v>
      </c>
    </row>
    <row r="18" spans="1:7" ht="45" customHeight="1">
      <c r="A18" s="577" t="s">
        <v>2052</v>
      </c>
      <c r="B18" s="580"/>
      <c r="C18" s="580"/>
      <c r="D18" s="580"/>
      <c r="E18" s="580"/>
      <c r="F18" s="580"/>
      <c r="G18" s="580"/>
    </row>
    <row r="19" spans="1:7" ht="45" customHeight="1">
      <c r="A19" s="577" t="s">
        <v>970</v>
      </c>
      <c r="B19" s="580"/>
      <c r="C19" s="580"/>
      <c r="D19" s="580"/>
      <c r="E19" s="580"/>
      <c r="F19" s="580"/>
      <c r="G19" s="580"/>
    </row>
    <row r="20" spans="1:7" ht="45" customHeight="1">
      <c r="A20" s="577" t="s">
        <v>2051</v>
      </c>
      <c r="B20" s="580"/>
      <c r="C20" s="580"/>
      <c r="D20" s="580"/>
      <c r="E20" s="580"/>
      <c r="F20" s="580"/>
      <c r="G20" s="580"/>
    </row>
    <row r="21" spans="1:7" ht="30">
      <c r="A21" s="577" t="s">
        <v>968</v>
      </c>
      <c r="B21" s="580"/>
      <c r="C21" s="580"/>
      <c r="D21" s="580"/>
      <c r="E21" s="580"/>
      <c r="F21" s="580"/>
      <c r="G21" s="580"/>
    </row>
    <row r="22" spans="1:7" ht="15">
      <c r="A22" s="577"/>
      <c r="B22" s="580"/>
      <c r="C22" s="580"/>
      <c r="D22" s="580"/>
      <c r="E22" s="580"/>
      <c r="F22" s="580"/>
      <c r="G22" s="580"/>
    </row>
    <row r="23" spans="1:7" ht="30" customHeight="1">
      <c r="A23" s="579" t="s">
        <v>948</v>
      </c>
    </row>
    <row r="24" spans="1:7" ht="45">
      <c r="A24" s="577" t="s">
        <v>2050</v>
      </c>
      <c r="B24" s="580"/>
      <c r="C24" s="580"/>
      <c r="D24" s="580"/>
      <c r="E24" s="580"/>
      <c r="F24" s="580"/>
      <c r="G24" s="580"/>
    </row>
    <row r="25" spans="1:7" ht="15">
      <c r="A25" s="577" t="s">
        <v>971</v>
      </c>
      <c r="B25" s="580"/>
      <c r="C25" s="580"/>
      <c r="D25" s="580"/>
      <c r="E25" s="580"/>
      <c r="F25" s="580"/>
      <c r="G25" s="580"/>
    </row>
    <row r="26" spans="1:7" ht="30">
      <c r="A26" s="577" t="s">
        <v>2049</v>
      </c>
      <c r="B26" s="580"/>
      <c r="C26" s="580"/>
      <c r="D26" s="580"/>
      <c r="E26" s="580"/>
      <c r="F26" s="580"/>
      <c r="G26" s="580"/>
    </row>
    <row r="27" spans="1:7" ht="30">
      <c r="A27" s="577" t="s">
        <v>2048</v>
      </c>
      <c r="B27" s="580"/>
      <c r="C27" s="580"/>
      <c r="D27" s="580"/>
      <c r="E27" s="580"/>
      <c r="F27" s="580"/>
      <c r="G27" s="580"/>
    </row>
    <row r="28" spans="1:7" ht="30">
      <c r="A28" s="577" t="s">
        <v>2047</v>
      </c>
    </row>
    <row r="29" spans="1:7" ht="45">
      <c r="A29" s="577" t="s">
        <v>977</v>
      </c>
    </row>
    <row r="30" spans="1:7" ht="31.5">
      <c r="A30" s="577" t="s">
        <v>2065</v>
      </c>
    </row>
    <row r="31" spans="1:7" ht="135.75">
      <c r="A31" s="577" t="s">
        <v>2046</v>
      </c>
    </row>
    <row r="32" spans="1:7" ht="30" customHeight="1">
      <c r="A32" s="579" t="s">
        <v>949</v>
      </c>
    </row>
    <row r="33" spans="1:7" ht="45">
      <c r="A33" s="577" t="s">
        <v>2045</v>
      </c>
    </row>
    <row r="34" spans="1:7" ht="150">
      <c r="A34" s="577" t="s">
        <v>2044</v>
      </c>
    </row>
    <row r="35" spans="1:7" ht="120">
      <c r="A35" s="577" t="s">
        <v>978</v>
      </c>
    </row>
    <row r="36" spans="1:7" ht="44.25" customHeight="1">
      <c r="A36" s="577" t="s">
        <v>950</v>
      </c>
    </row>
    <row r="37" spans="1:7" ht="15">
      <c r="A37" s="577" t="s">
        <v>2043</v>
      </c>
    </row>
    <row r="38" spans="1:7" ht="30" customHeight="1">
      <c r="A38" s="579" t="s">
        <v>951</v>
      </c>
    </row>
    <row r="39" spans="1:7" ht="45">
      <c r="A39" s="577" t="s">
        <v>972</v>
      </c>
      <c r="B39" s="580"/>
      <c r="C39" s="580"/>
      <c r="D39" s="580"/>
      <c r="E39" s="580"/>
      <c r="F39" s="580"/>
      <c r="G39" s="580"/>
    </row>
    <row r="40" spans="1:7" ht="30">
      <c r="A40" s="577" t="s">
        <v>979</v>
      </c>
    </row>
    <row r="41" spans="1:7" ht="30">
      <c r="A41" s="577" t="s">
        <v>980</v>
      </c>
    </row>
    <row r="42" spans="1:7" ht="15">
      <c r="A42" s="577"/>
    </row>
    <row r="43" spans="1:7" ht="15.75">
      <c r="A43" s="579" t="s">
        <v>952</v>
      </c>
    </row>
    <row r="44" spans="1:7" ht="45">
      <c r="A44" s="577" t="s">
        <v>953</v>
      </c>
    </row>
    <row r="46" spans="1:7" ht="30" customHeight="1">
      <c r="A46" s="579" t="s">
        <v>973</v>
      </c>
    </row>
    <row r="47" spans="1:7" ht="45">
      <c r="A47" s="577" t="s">
        <v>974</v>
      </c>
    </row>
    <row r="48" spans="1:7" ht="30">
      <c r="A48" s="577" t="s">
        <v>976</v>
      </c>
    </row>
    <row r="49" spans="1:1" ht="25.5">
      <c r="A49" s="578" t="s">
        <v>2042</v>
      </c>
    </row>
    <row r="50" spans="1:1" ht="15">
      <c r="A50" s="577"/>
    </row>
    <row r="51" spans="1:1" ht="30" customHeight="1">
      <c r="A51" s="579" t="s">
        <v>2066</v>
      </c>
    </row>
    <row r="52" spans="1:1" ht="30">
      <c r="A52" s="577" t="s">
        <v>2067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topLeftCell="A22" zoomScale="90" zoomScaleNormal="90" zoomScaleSheetLayoutView="75" workbookViewId="0">
      <selection activeCell="R3" sqref="R3"/>
    </sheetView>
  </sheetViews>
  <sheetFormatPr baseColWidth="10" defaultColWidth="10.7109375" defaultRowHeight="15"/>
  <cols>
    <col min="1" max="16384" width="10.7109375" style="1"/>
  </cols>
  <sheetData>
    <row r="1" spans="3:12" ht="23.25">
      <c r="C1" s="702" t="str">
        <f>"OBRA: " &amp; UPPER(Obra)</f>
        <v>OBRA: MEJORA DE LA RED DE RIEGO DEL VALLE DE JÁCHAL</v>
      </c>
      <c r="D1" s="702"/>
      <c r="E1" s="702"/>
      <c r="F1" s="702"/>
      <c r="G1" s="702"/>
      <c r="H1" s="702"/>
      <c r="I1" s="702"/>
      <c r="J1" s="702"/>
      <c r="K1" s="702"/>
      <c r="L1" s="702"/>
    </row>
    <row r="2" spans="3:12" ht="23.25">
      <c r="C2" s="702" t="s">
        <v>954</v>
      </c>
      <c r="D2" s="702"/>
      <c r="E2" s="702"/>
      <c r="F2" s="702"/>
      <c r="G2" s="702"/>
      <c r="H2" s="702"/>
      <c r="I2" s="702"/>
      <c r="J2" s="702"/>
      <c r="K2" s="702"/>
      <c r="L2" s="702"/>
    </row>
    <row r="3" spans="3:12" ht="23.25">
      <c r="C3" s="702" t="s">
        <v>955</v>
      </c>
      <c r="D3" s="702"/>
      <c r="E3" s="702"/>
      <c r="F3" s="702"/>
      <c r="G3" s="702"/>
      <c r="H3" s="702"/>
      <c r="I3" s="702"/>
      <c r="J3" s="702"/>
      <c r="K3" s="702"/>
      <c r="L3" s="70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03" t="str">
        <f>"OBRA: " &amp; UPPER(Obra)</f>
        <v>OBRA: MEJORA DE LA RED DE RIEGO DEL VALLE DE JÁCHAL</v>
      </c>
      <c r="D1" s="703"/>
      <c r="E1" s="703"/>
      <c r="F1" s="703"/>
      <c r="G1" s="703"/>
      <c r="H1" s="703"/>
      <c r="I1" s="703"/>
      <c r="J1" s="703"/>
    </row>
    <row r="2" spans="3:10" ht="23.25">
      <c r="C2" s="702" t="s">
        <v>956</v>
      </c>
      <c r="D2" s="702"/>
      <c r="E2" s="702"/>
      <c r="F2" s="702"/>
      <c r="G2" s="702"/>
      <c r="H2" s="702"/>
      <c r="I2" s="702"/>
      <c r="J2" s="702"/>
    </row>
    <row r="3" spans="3:10" ht="23.25">
      <c r="C3" s="702" t="s">
        <v>957</v>
      </c>
      <c r="D3" s="702"/>
      <c r="E3" s="702"/>
      <c r="F3" s="702"/>
      <c r="G3" s="702"/>
      <c r="H3" s="702"/>
      <c r="I3" s="702"/>
      <c r="J3" s="70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c r="A1" s="3" t="s">
        <v>7</v>
      </c>
      <c r="B1" s="3" t="str">
        <f>Comitente</f>
        <v>DEPARTAMENTO DE HIDRAULICA</v>
      </c>
      <c r="E1" s="4"/>
    </row>
    <row r="2" spans="1:6" s="5" customFormat="1" ht="20.100000000000001" customHeight="1">
      <c r="A2" s="11" t="s">
        <v>8</v>
      </c>
      <c r="B2" s="11" t="str">
        <f>Obra</f>
        <v>MEJORA DE LA RED DE RIEGO DEL VALLE DE JÁCHAL</v>
      </c>
    </row>
    <row r="3" spans="1:6" s="5" customFormat="1" ht="20.100000000000001" customHeight="1">
      <c r="A3" s="11" t="s">
        <v>12</v>
      </c>
      <c r="B3" s="11" t="str">
        <f>Ubicación</f>
        <v>JACHAL</v>
      </c>
    </row>
    <row r="4" spans="1:6" s="5" customFormat="1" ht="20.100000000000001" customHeight="1">
      <c r="A4" s="11" t="s">
        <v>11</v>
      </c>
      <c r="B4" s="12">
        <f>Licitación_N°</f>
        <v>0</v>
      </c>
    </row>
    <row r="5" spans="1:6" s="5" customFormat="1" ht="20.100000000000001" customHeight="1">
      <c r="A5" s="11" t="s">
        <v>9</v>
      </c>
      <c r="B5" s="11">
        <f>Contratista</f>
        <v>0</v>
      </c>
    </row>
    <row r="6" spans="1:6" ht="20.100000000000001" customHeight="1">
      <c r="A6" s="3"/>
      <c r="B6" s="3"/>
      <c r="C6" s="3"/>
      <c r="D6" s="3"/>
      <c r="E6" s="3"/>
      <c r="F6" s="3"/>
    </row>
    <row r="7" spans="1:6" ht="20.100000000000001" customHeight="1">
      <c r="A7" s="708" t="s">
        <v>33</v>
      </c>
      <c r="B7" s="709"/>
      <c r="C7" s="709"/>
      <c r="D7" s="709"/>
      <c r="E7" s="710"/>
    </row>
    <row r="8" spans="1:6" ht="20.100000000000001" customHeight="1">
      <c r="A8" s="711" t="s">
        <v>707</v>
      </c>
      <c r="B8" s="712"/>
      <c r="C8" s="713"/>
      <c r="D8" s="713"/>
      <c r="E8" s="714"/>
    </row>
    <row r="10" spans="1:6" ht="20.100000000000001" customHeight="1">
      <c r="A10" s="706"/>
      <c r="B10" s="707"/>
      <c r="C10" s="51" t="s">
        <v>37</v>
      </c>
      <c r="D10" s="52" t="s">
        <v>34</v>
      </c>
      <c r="E10" s="52" t="s">
        <v>35</v>
      </c>
    </row>
    <row r="11" spans="1:6" ht="20.100000000000001" customHeight="1">
      <c r="A11" s="704" t="s">
        <v>944</v>
      </c>
      <c r="B11" s="705"/>
      <c r="C11" s="71">
        <f>ROUND(SUBTOTAL(9,C12:C34),2)</f>
        <v>0</v>
      </c>
      <c r="D11" s="14">
        <f>SUBTOTAL(9,D12:D34)</f>
        <v>0</v>
      </c>
      <c r="E11" s="10"/>
    </row>
    <row r="12" spans="1:6" ht="20.100000000000001" customHeight="1">
      <c r="A12" s="95"/>
      <c r="B12" s="96"/>
      <c r="C12" s="97"/>
      <c r="D12" s="13">
        <f t="shared" ref="D12:D34" si="0">IFERROR(C12/GG_Obra,0)</f>
        <v>0</v>
      </c>
      <c r="E12" s="13">
        <f t="shared" ref="E12:E34" si="1">IFERROR(C12/GG_Pesos,0)</f>
        <v>0</v>
      </c>
    </row>
    <row r="13" spans="1:6" ht="20.100000000000001" customHeight="1">
      <c r="A13" s="95"/>
      <c r="B13" s="96"/>
      <c r="C13" s="97"/>
      <c r="D13" s="13">
        <f t="shared" si="0"/>
        <v>0</v>
      </c>
      <c r="E13" s="13">
        <f t="shared" si="1"/>
        <v>0</v>
      </c>
    </row>
    <row r="14" spans="1:6" ht="20.100000000000001" customHeight="1">
      <c r="A14" s="95"/>
      <c r="B14" s="96"/>
      <c r="C14" s="97"/>
      <c r="D14" s="13">
        <f t="shared" si="0"/>
        <v>0</v>
      </c>
      <c r="E14" s="13">
        <f t="shared" si="1"/>
        <v>0</v>
      </c>
    </row>
    <row r="15" spans="1:6" ht="20.100000000000001" customHeight="1">
      <c r="A15" s="95"/>
      <c r="B15" s="96"/>
      <c r="C15" s="97"/>
      <c r="D15" s="13">
        <f t="shared" si="0"/>
        <v>0</v>
      </c>
      <c r="E15" s="13">
        <f t="shared" si="1"/>
        <v>0</v>
      </c>
    </row>
    <row r="16" spans="1:6" ht="20.100000000000001" customHeight="1">
      <c r="A16" s="95"/>
      <c r="B16" s="96"/>
      <c r="C16" s="97"/>
      <c r="D16" s="13">
        <f t="shared" si="0"/>
        <v>0</v>
      </c>
      <c r="E16" s="13">
        <f t="shared" si="1"/>
        <v>0</v>
      </c>
    </row>
    <row r="17" spans="1:5" ht="20.100000000000001" customHeight="1">
      <c r="A17" s="706"/>
      <c r="B17" s="707"/>
      <c r="C17" s="72"/>
      <c r="D17" s="13">
        <f t="shared" si="0"/>
        <v>0</v>
      </c>
      <c r="E17" s="13">
        <f t="shared" si="1"/>
        <v>0</v>
      </c>
    </row>
    <row r="18" spans="1:5" ht="20.100000000000001" customHeight="1">
      <c r="A18" s="706"/>
      <c r="B18" s="707"/>
      <c r="C18" s="72"/>
      <c r="D18" s="13">
        <f t="shared" si="0"/>
        <v>0</v>
      </c>
      <c r="E18" s="13">
        <f t="shared" si="1"/>
        <v>0</v>
      </c>
    </row>
    <row r="19" spans="1:5" ht="20.100000000000001" customHeight="1">
      <c r="A19" s="706"/>
      <c r="B19" s="707"/>
      <c r="C19" s="72"/>
      <c r="D19" s="13">
        <f t="shared" si="0"/>
        <v>0</v>
      </c>
      <c r="E19" s="13">
        <f t="shared" si="1"/>
        <v>0</v>
      </c>
    </row>
    <row r="20" spans="1:5" ht="20.100000000000001" customHeight="1">
      <c r="A20" s="706"/>
      <c r="B20" s="707"/>
      <c r="C20" s="72"/>
      <c r="D20" s="13">
        <f t="shared" si="0"/>
        <v>0</v>
      </c>
      <c r="E20" s="13">
        <f t="shared" si="1"/>
        <v>0</v>
      </c>
    </row>
    <row r="21" spans="1:5" ht="20.100000000000001" customHeight="1">
      <c r="A21" s="706"/>
      <c r="B21" s="707"/>
      <c r="C21" s="72"/>
      <c r="D21" s="13">
        <f t="shared" si="0"/>
        <v>0</v>
      </c>
      <c r="E21" s="13">
        <f t="shared" si="1"/>
        <v>0</v>
      </c>
    </row>
    <row r="22" spans="1:5" ht="20.100000000000001" customHeight="1">
      <c r="A22" s="706"/>
      <c r="B22" s="707"/>
      <c r="C22" s="72"/>
      <c r="D22" s="13">
        <f t="shared" si="0"/>
        <v>0</v>
      </c>
      <c r="E22" s="13">
        <f t="shared" si="1"/>
        <v>0</v>
      </c>
    </row>
    <row r="23" spans="1:5" ht="20.100000000000001" customHeight="1">
      <c r="A23" s="706"/>
      <c r="B23" s="707"/>
      <c r="C23" s="72"/>
      <c r="D23" s="13">
        <f t="shared" si="0"/>
        <v>0</v>
      </c>
      <c r="E23" s="13">
        <f t="shared" si="1"/>
        <v>0</v>
      </c>
    </row>
    <row r="24" spans="1:5" ht="20.100000000000001" customHeight="1">
      <c r="A24" s="706"/>
      <c r="B24" s="707"/>
      <c r="C24" s="72"/>
      <c r="D24" s="13">
        <f t="shared" si="0"/>
        <v>0</v>
      </c>
      <c r="E24" s="13">
        <f t="shared" si="1"/>
        <v>0</v>
      </c>
    </row>
    <row r="25" spans="1:5" ht="20.100000000000001" customHeight="1">
      <c r="A25" s="706"/>
      <c r="B25" s="707"/>
      <c r="C25" s="72"/>
      <c r="D25" s="13">
        <f t="shared" ref="D25:D28" si="2">IFERROR(C25/GG_Obra,0)</f>
        <v>0</v>
      </c>
      <c r="E25" s="13">
        <f t="shared" ref="E25:E28" si="3">IFERROR(C25/GG_Pesos,0)</f>
        <v>0</v>
      </c>
    </row>
    <row r="26" spans="1:5" ht="20.100000000000001" customHeight="1">
      <c r="A26" s="706"/>
      <c r="B26" s="707"/>
      <c r="C26" s="72"/>
      <c r="D26" s="13">
        <f t="shared" si="2"/>
        <v>0</v>
      </c>
      <c r="E26" s="13">
        <f t="shared" si="3"/>
        <v>0</v>
      </c>
    </row>
    <row r="27" spans="1:5" ht="20.100000000000001" customHeight="1">
      <c r="A27" s="706"/>
      <c r="B27" s="707"/>
      <c r="C27" s="72"/>
      <c r="D27" s="13">
        <f t="shared" si="2"/>
        <v>0</v>
      </c>
      <c r="E27" s="13">
        <f t="shared" si="3"/>
        <v>0</v>
      </c>
    </row>
    <row r="28" spans="1:5" ht="20.100000000000001" customHeight="1">
      <c r="A28" s="706"/>
      <c r="B28" s="707"/>
      <c r="C28" s="72"/>
      <c r="D28" s="13">
        <f t="shared" si="2"/>
        <v>0</v>
      </c>
      <c r="E28" s="13">
        <f t="shared" si="3"/>
        <v>0</v>
      </c>
    </row>
    <row r="29" spans="1:5" ht="20.100000000000001" customHeight="1">
      <c r="A29" s="706"/>
      <c r="B29" s="707"/>
      <c r="C29" s="72"/>
      <c r="D29" s="13">
        <f t="shared" si="0"/>
        <v>0</v>
      </c>
      <c r="E29" s="13">
        <f t="shared" si="1"/>
        <v>0</v>
      </c>
    </row>
    <row r="30" spans="1:5" ht="20.100000000000001" customHeight="1">
      <c r="A30" s="706"/>
      <c r="B30" s="707"/>
      <c r="C30" s="72"/>
      <c r="D30" s="13">
        <f t="shared" si="0"/>
        <v>0</v>
      </c>
      <c r="E30" s="13">
        <f t="shared" si="1"/>
        <v>0</v>
      </c>
    </row>
    <row r="31" spans="1:5" ht="20.100000000000001" customHeight="1">
      <c r="A31" s="706"/>
      <c r="B31" s="707"/>
      <c r="C31" s="72"/>
      <c r="D31" s="13">
        <f t="shared" si="0"/>
        <v>0</v>
      </c>
      <c r="E31" s="13">
        <f t="shared" si="1"/>
        <v>0</v>
      </c>
    </row>
    <row r="32" spans="1:5" ht="20.100000000000001" customHeight="1">
      <c r="A32" s="706"/>
      <c r="B32" s="707"/>
      <c r="C32" s="72"/>
      <c r="D32" s="13">
        <f t="shared" si="0"/>
        <v>0</v>
      </c>
      <c r="E32" s="13">
        <f t="shared" si="1"/>
        <v>0</v>
      </c>
    </row>
    <row r="33" spans="1:5" ht="20.100000000000001" customHeight="1">
      <c r="A33" s="706"/>
      <c r="B33" s="707"/>
      <c r="C33" s="72"/>
      <c r="D33" s="13">
        <f t="shared" si="0"/>
        <v>0</v>
      </c>
      <c r="E33" s="13">
        <f t="shared" si="1"/>
        <v>0</v>
      </c>
    </row>
    <row r="34" spans="1:5" ht="20.100000000000001" customHeight="1">
      <c r="A34" s="706"/>
      <c r="B34" s="707"/>
      <c r="C34" s="72"/>
      <c r="D34" s="13">
        <f t="shared" si="0"/>
        <v>0</v>
      </c>
      <c r="E34" s="13">
        <f t="shared" si="1"/>
        <v>0</v>
      </c>
    </row>
    <row r="35" spans="1:5" ht="20.100000000000001" customHeight="1">
      <c r="A35" s="53"/>
      <c r="E35" s="54"/>
    </row>
    <row r="36" spans="1:5" ht="20.100000000000001" customHeight="1">
      <c r="A36" s="704" t="s">
        <v>36</v>
      </c>
      <c r="B36" s="705"/>
      <c r="C36" s="71">
        <f>ROUND(SUBTOTAL(9,C37:C73),2)</f>
        <v>0</v>
      </c>
      <c r="D36" s="49">
        <f>SUBTOTAL(9,D37:D80)</f>
        <v>0</v>
      </c>
      <c r="E36" s="54"/>
    </row>
    <row r="37" spans="1:5" ht="20.100000000000001" customHeight="1">
      <c r="A37" s="91"/>
      <c r="B37" s="92"/>
      <c r="C37" s="93"/>
      <c r="D37" s="13">
        <f t="shared" ref="D37:D73" si="4">IFERROR(C37/GG_Empresa,0)</f>
        <v>0</v>
      </c>
      <c r="E37" s="13">
        <f t="shared" ref="E37:E73" si="5">IFERROR(C37/GG_Pesos,0)</f>
        <v>0</v>
      </c>
    </row>
    <row r="38" spans="1:5" ht="20.100000000000001" customHeight="1">
      <c r="A38" s="91"/>
      <c r="B38" s="92"/>
      <c r="C38" s="93"/>
      <c r="D38" s="13">
        <f t="shared" si="4"/>
        <v>0</v>
      </c>
      <c r="E38" s="13">
        <f t="shared" si="5"/>
        <v>0</v>
      </c>
    </row>
    <row r="39" spans="1:5" ht="20.100000000000001" customHeight="1">
      <c r="A39" s="91"/>
      <c r="B39" s="92"/>
      <c r="C39" s="93"/>
      <c r="D39" s="13">
        <f t="shared" si="4"/>
        <v>0</v>
      </c>
      <c r="E39" s="13">
        <f t="shared" si="5"/>
        <v>0</v>
      </c>
    </row>
    <row r="40" spans="1:5" ht="20.100000000000001" customHeight="1">
      <c r="A40" s="91"/>
      <c r="B40" s="92"/>
      <c r="C40" s="93"/>
      <c r="D40" s="13">
        <f t="shared" si="4"/>
        <v>0</v>
      </c>
      <c r="E40" s="13">
        <f t="shared" si="5"/>
        <v>0</v>
      </c>
    </row>
    <row r="41" spans="1:5" ht="20.100000000000001" customHeight="1">
      <c r="A41" s="91"/>
      <c r="B41" s="92"/>
      <c r="C41" s="93"/>
      <c r="D41" s="13">
        <f t="shared" ref="D41:D60" si="6">IFERROR(C41/GG_Empresa,0)</f>
        <v>0</v>
      </c>
      <c r="E41" s="13">
        <f t="shared" ref="E41:E60" si="7">IFERROR(C41/GG_Pesos,0)</f>
        <v>0</v>
      </c>
    </row>
    <row r="42" spans="1:5" ht="20.100000000000001" customHeight="1">
      <c r="A42" s="91"/>
      <c r="B42" s="92"/>
      <c r="C42" s="93"/>
      <c r="D42" s="13">
        <f t="shared" si="6"/>
        <v>0</v>
      </c>
      <c r="E42" s="13">
        <f t="shared" si="7"/>
        <v>0</v>
      </c>
    </row>
    <row r="43" spans="1:5" ht="20.100000000000001" customHeight="1">
      <c r="A43" s="91"/>
      <c r="B43" s="92"/>
      <c r="C43" s="93"/>
      <c r="D43" s="13">
        <f t="shared" si="6"/>
        <v>0</v>
      </c>
      <c r="E43" s="13">
        <f t="shared" si="7"/>
        <v>0</v>
      </c>
    </row>
    <row r="44" spans="1:5" ht="20.100000000000001" customHeight="1">
      <c r="A44" s="91"/>
      <c r="B44" s="92"/>
      <c r="C44" s="93"/>
      <c r="D44" s="13">
        <f t="shared" si="6"/>
        <v>0</v>
      </c>
      <c r="E44" s="13">
        <f t="shared" si="7"/>
        <v>0</v>
      </c>
    </row>
    <row r="45" spans="1:5" ht="20.100000000000001" customHeight="1">
      <c r="A45" s="91"/>
      <c r="B45" s="92"/>
      <c r="C45" s="93"/>
      <c r="D45" s="13">
        <f t="shared" si="6"/>
        <v>0</v>
      </c>
      <c r="E45" s="13">
        <f t="shared" si="7"/>
        <v>0</v>
      </c>
    </row>
    <row r="46" spans="1:5" ht="20.100000000000001" customHeight="1">
      <c r="A46" s="91"/>
      <c r="B46" s="92"/>
      <c r="C46" s="93"/>
      <c r="D46" s="13">
        <f t="shared" si="6"/>
        <v>0</v>
      </c>
      <c r="E46" s="13">
        <f t="shared" si="7"/>
        <v>0</v>
      </c>
    </row>
    <row r="47" spans="1:5" ht="20.100000000000001" customHeight="1">
      <c r="A47" s="91"/>
      <c r="B47" s="92"/>
      <c r="C47" s="93"/>
      <c r="D47" s="13">
        <f t="shared" si="6"/>
        <v>0</v>
      </c>
      <c r="E47" s="13">
        <f t="shared" si="7"/>
        <v>0</v>
      </c>
    </row>
    <row r="48" spans="1:5" ht="20.100000000000001" customHeight="1">
      <c r="A48" s="91"/>
      <c r="B48" s="92"/>
      <c r="C48" s="93"/>
      <c r="D48" s="13">
        <f t="shared" si="6"/>
        <v>0</v>
      </c>
      <c r="E48" s="13">
        <f t="shared" si="7"/>
        <v>0</v>
      </c>
    </row>
    <row r="49" spans="1:5" ht="20.100000000000001" customHeight="1">
      <c r="A49" s="91"/>
      <c r="B49" s="92"/>
      <c r="C49" s="93"/>
      <c r="D49" s="13">
        <f t="shared" si="6"/>
        <v>0</v>
      </c>
      <c r="E49" s="13">
        <f t="shared" si="7"/>
        <v>0</v>
      </c>
    </row>
    <row r="50" spans="1:5" ht="20.100000000000001" customHeight="1">
      <c r="A50" s="91"/>
      <c r="B50" s="92"/>
      <c r="C50" s="93"/>
      <c r="D50" s="13">
        <f t="shared" si="6"/>
        <v>0</v>
      </c>
      <c r="E50" s="13">
        <f t="shared" si="7"/>
        <v>0</v>
      </c>
    </row>
    <row r="51" spans="1:5" ht="20.100000000000001" customHeight="1">
      <c r="A51" s="91"/>
      <c r="B51" s="92"/>
      <c r="C51" s="93"/>
      <c r="D51" s="13">
        <f t="shared" si="6"/>
        <v>0</v>
      </c>
      <c r="E51" s="13">
        <f t="shared" si="7"/>
        <v>0</v>
      </c>
    </row>
    <row r="52" spans="1:5" ht="20.100000000000001" customHeight="1">
      <c r="A52" s="91"/>
      <c r="B52" s="92"/>
      <c r="C52" s="93"/>
      <c r="D52" s="13">
        <f t="shared" si="6"/>
        <v>0</v>
      </c>
      <c r="E52" s="13">
        <f t="shared" si="7"/>
        <v>0</v>
      </c>
    </row>
    <row r="53" spans="1:5" ht="20.100000000000001" customHeight="1">
      <c r="A53" s="91"/>
      <c r="B53" s="92"/>
      <c r="C53" s="93"/>
      <c r="D53" s="13">
        <f t="shared" si="6"/>
        <v>0</v>
      </c>
      <c r="E53" s="13">
        <f t="shared" si="7"/>
        <v>0</v>
      </c>
    </row>
    <row r="54" spans="1:5" ht="20.100000000000001" customHeight="1">
      <c r="A54" s="91"/>
      <c r="B54" s="92"/>
      <c r="C54" s="93"/>
      <c r="D54" s="13">
        <f t="shared" si="6"/>
        <v>0</v>
      </c>
      <c r="E54" s="13">
        <f t="shared" si="7"/>
        <v>0</v>
      </c>
    </row>
    <row r="55" spans="1:5" ht="20.100000000000001" customHeight="1">
      <c r="A55" s="91"/>
      <c r="B55" s="92"/>
      <c r="C55" s="93"/>
      <c r="D55" s="13">
        <f t="shared" si="6"/>
        <v>0</v>
      </c>
      <c r="E55" s="13">
        <f t="shared" si="7"/>
        <v>0</v>
      </c>
    </row>
    <row r="56" spans="1:5" ht="20.100000000000001" customHeight="1">
      <c r="A56" s="91"/>
      <c r="B56" s="92"/>
      <c r="C56" s="93"/>
      <c r="D56" s="13">
        <f t="shared" si="6"/>
        <v>0</v>
      </c>
      <c r="E56" s="13">
        <f t="shared" si="7"/>
        <v>0</v>
      </c>
    </row>
    <row r="57" spans="1:5" ht="20.100000000000001" customHeight="1">
      <c r="A57" s="91"/>
      <c r="B57" s="92"/>
      <c r="C57" s="93"/>
      <c r="D57" s="13">
        <f t="shared" si="6"/>
        <v>0</v>
      </c>
      <c r="E57" s="13">
        <f t="shared" si="7"/>
        <v>0</v>
      </c>
    </row>
    <row r="58" spans="1:5" ht="20.100000000000001" customHeight="1">
      <c r="A58" s="91"/>
      <c r="B58" s="94"/>
      <c r="C58" s="93"/>
      <c r="D58" s="13">
        <f t="shared" si="6"/>
        <v>0</v>
      </c>
      <c r="E58" s="13">
        <f t="shared" si="7"/>
        <v>0</v>
      </c>
    </row>
    <row r="59" spans="1:5" ht="20.100000000000001" customHeight="1">
      <c r="A59" s="91"/>
      <c r="B59" s="94"/>
      <c r="C59" s="93"/>
      <c r="D59" s="13">
        <f t="shared" si="6"/>
        <v>0</v>
      </c>
      <c r="E59" s="13">
        <f t="shared" si="7"/>
        <v>0</v>
      </c>
    </row>
    <row r="60" spans="1:5" ht="20.100000000000001" customHeight="1">
      <c r="A60" s="91"/>
      <c r="B60" s="94"/>
      <c r="C60" s="93"/>
      <c r="D60" s="13">
        <f t="shared" si="6"/>
        <v>0</v>
      </c>
      <c r="E60" s="13">
        <f t="shared" si="7"/>
        <v>0</v>
      </c>
    </row>
    <row r="61" spans="1:5" ht="20.100000000000001" customHeight="1">
      <c r="A61" s="91"/>
      <c r="B61" s="94"/>
      <c r="C61" s="93"/>
      <c r="D61" s="13">
        <f t="shared" si="4"/>
        <v>0</v>
      </c>
      <c r="E61" s="13">
        <f t="shared" si="5"/>
        <v>0</v>
      </c>
    </row>
    <row r="62" spans="1:5" ht="20.100000000000001" customHeight="1">
      <c r="A62" s="91"/>
      <c r="B62" s="94"/>
      <c r="C62" s="93"/>
      <c r="D62" s="13">
        <f t="shared" si="4"/>
        <v>0</v>
      </c>
      <c r="E62" s="13">
        <f t="shared" si="5"/>
        <v>0</v>
      </c>
    </row>
    <row r="63" spans="1:5" ht="20.100000000000001" customHeight="1">
      <c r="A63" s="91"/>
      <c r="B63" s="94"/>
      <c r="C63" s="93"/>
      <c r="D63" s="13">
        <f t="shared" si="4"/>
        <v>0</v>
      </c>
      <c r="E63" s="13">
        <f t="shared" si="5"/>
        <v>0</v>
      </c>
    </row>
    <row r="64" spans="1:5" ht="20.100000000000001" customHeight="1">
      <c r="A64" s="91"/>
      <c r="B64" s="94"/>
      <c r="C64" s="93"/>
      <c r="D64" s="13">
        <f t="shared" si="4"/>
        <v>0</v>
      </c>
      <c r="E64" s="13">
        <f t="shared" si="5"/>
        <v>0</v>
      </c>
    </row>
    <row r="65" spans="1:5" ht="20.100000000000001" customHeight="1">
      <c r="A65" s="91"/>
      <c r="B65" s="94"/>
      <c r="C65" s="93"/>
      <c r="D65" s="13">
        <f t="shared" si="4"/>
        <v>0</v>
      </c>
      <c r="E65" s="13">
        <f t="shared" si="5"/>
        <v>0</v>
      </c>
    </row>
    <row r="66" spans="1:5" ht="20.100000000000001" customHeight="1">
      <c r="A66" s="91"/>
      <c r="B66" s="94"/>
      <c r="C66" s="93"/>
      <c r="D66" s="13">
        <f t="shared" si="4"/>
        <v>0</v>
      </c>
      <c r="E66" s="13">
        <f t="shared" si="5"/>
        <v>0</v>
      </c>
    </row>
    <row r="67" spans="1:5" ht="20.100000000000001" customHeight="1">
      <c r="A67" s="91"/>
      <c r="B67" s="94"/>
      <c r="C67" s="93"/>
      <c r="D67" s="13">
        <f t="shared" si="4"/>
        <v>0</v>
      </c>
      <c r="E67" s="13">
        <f t="shared" si="5"/>
        <v>0</v>
      </c>
    </row>
    <row r="68" spans="1:5" ht="20.100000000000001" customHeight="1">
      <c r="A68" s="91"/>
      <c r="B68" s="94"/>
      <c r="C68" s="93"/>
      <c r="D68" s="13">
        <f t="shared" si="4"/>
        <v>0</v>
      </c>
      <c r="E68" s="13">
        <f t="shared" si="5"/>
        <v>0</v>
      </c>
    </row>
    <row r="69" spans="1:5" ht="20.100000000000001" customHeight="1">
      <c r="A69" s="91"/>
      <c r="B69" s="94"/>
      <c r="C69" s="93"/>
      <c r="D69" s="13">
        <f t="shared" si="4"/>
        <v>0</v>
      </c>
      <c r="E69" s="13">
        <f t="shared" si="5"/>
        <v>0</v>
      </c>
    </row>
    <row r="70" spans="1:5" ht="20.100000000000001" customHeight="1">
      <c r="A70" s="91"/>
      <c r="B70" s="94"/>
      <c r="C70" s="93"/>
      <c r="D70" s="13">
        <f t="shared" ref="D70:D72" si="8">IFERROR(C70/GG_Empresa,0)</f>
        <v>0</v>
      </c>
      <c r="E70" s="13">
        <f t="shared" ref="E70:E72" si="9">IFERROR(C70/GG_Pesos,0)</f>
        <v>0</v>
      </c>
    </row>
    <row r="71" spans="1:5" ht="20.100000000000001" customHeight="1">
      <c r="A71" s="91"/>
      <c r="B71" s="94"/>
      <c r="C71" s="93"/>
      <c r="D71" s="13">
        <f t="shared" si="8"/>
        <v>0</v>
      </c>
      <c r="E71" s="13">
        <f t="shared" si="9"/>
        <v>0</v>
      </c>
    </row>
    <row r="72" spans="1:5" ht="20.100000000000001" customHeight="1">
      <c r="A72" s="91"/>
      <c r="B72" s="94"/>
      <c r="C72" s="93"/>
      <c r="D72" s="13">
        <f t="shared" si="8"/>
        <v>0</v>
      </c>
      <c r="E72" s="13">
        <f t="shared" si="9"/>
        <v>0</v>
      </c>
    </row>
    <row r="73" spans="1:5" ht="20.100000000000001" customHeight="1">
      <c r="A73" s="91"/>
      <c r="B73" s="94"/>
      <c r="C73" s="93"/>
      <c r="D73" s="13">
        <f t="shared" si="4"/>
        <v>0</v>
      </c>
      <c r="E73" s="13">
        <f t="shared" si="5"/>
        <v>0</v>
      </c>
    </row>
    <row r="74" spans="1:5" ht="20.100000000000001" customHeight="1">
      <c r="A74" s="53"/>
      <c r="E74" s="54"/>
    </row>
    <row r="75" spans="1:5" ht="20.100000000000001" customHeight="1">
      <c r="A75" s="704" t="s">
        <v>708</v>
      </c>
      <c r="B75" s="705"/>
      <c r="C75" s="71">
        <f>ROUND(SUBTOTAL(9,C11:C73),2)</f>
        <v>0</v>
      </c>
      <c r="D75" s="55"/>
      <c r="E75" s="56">
        <f>SUBTOTAL(9,E11:E73)</f>
        <v>0</v>
      </c>
    </row>
    <row r="76" spans="1:5" ht="20.100000000000001" customHeight="1">
      <c r="E76" s="50"/>
    </row>
    <row r="77" spans="1:5" ht="20.100000000000001" customHeight="1">
      <c r="D77" s="50"/>
    </row>
    <row r="78" spans="1:5" ht="20.100000000000001" customHeight="1">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zoomScale="120" zoomScaleNormal="120" workbookViewId="0">
      <selection activeCell="D31" sqref="D31"/>
    </sheetView>
  </sheetViews>
  <sheetFormatPr baseColWidth="10" defaultColWidth="11.42578125" defaultRowHeight="11.25"/>
  <cols>
    <col min="1" max="1" width="19.28515625" style="316" customWidth="1"/>
    <col min="2" max="2" width="19.140625" style="316" customWidth="1"/>
    <col min="3" max="3" width="37.7109375" style="316" customWidth="1"/>
    <col min="4" max="4" width="12.42578125" style="316" customWidth="1"/>
    <col min="5" max="5" width="11.42578125" style="316"/>
    <col min="6" max="6" width="12" style="316" bestFit="1" customWidth="1"/>
    <col min="7" max="7" width="12.7109375" style="316" customWidth="1"/>
    <col min="8" max="8" width="11.42578125" style="316"/>
    <col min="9" max="9" width="12.85546875" style="316" bestFit="1" customWidth="1"/>
    <col min="10" max="10" width="13.28515625" style="316" bestFit="1" customWidth="1"/>
    <col min="11" max="16384" width="11.42578125" style="316"/>
  </cols>
  <sheetData>
    <row r="1" spans="1:7">
      <c r="A1" s="715" t="s">
        <v>1665</v>
      </c>
      <c r="B1" s="715"/>
      <c r="C1" s="715"/>
      <c r="D1" s="715"/>
      <c r="E1" s="715"/>
      <c r="F1" s="715"/>
      <c r="G1" s="715"/>
    </row>
    <row r="2" spans="1:7">
      <c r="A2" s="317" t="s">
        <v>710</v>
      </c>
      <c r="B2" s="317" t="str">
        <f>Comitente</f>
        <v>DEPARTAMENTO DE HIDRAULICA</v>
      </c>
      <c r="C2" s="318"/>
      <c r="D2" s="319"/>
      <c r="E2" s="319"/>
      <c r="F2" s="320"/>
      <c r="G2" s="320"/>
    </row>
    <row r="3" spans="1:7">
      <c r="A3" s="317" t="s">
        <v>711</v>
      </c>
      <c r="B3" s="317">
        <f>Contratista</f>
        <v>0</v>
      </c>
      <c r="C3" s="321"/>
      <c r="D3" s="321"/>
      <c r="E3" s="321"/>
      <c r="F3" s="317"/>
      <c r="G3" s="317"/>
    </row>
    <row r="4" spans="1:7">
      <c r="A4" s="317" t="s">
        <v>20</v>
      </c>
      <c r="B4" s="317" t="str">
        <f>Obra</f>
        <v>MEJORA DE LA RED DE RIEGO DEL VALLE DE JÁCHAL</v>
      </c>
      <c r="C4" s="321"/>
      <c r="D4" s="317" t="s">
        <v>31</v>
      </c>
      <c r="E4" s="317" t="str">
        <f>Fecha_Base</f>
        <v>XX/07/2020</v>
      </c>
    </row>
    <row r="5" spans="1:7">
      <c r="A5" s="322" t="s">
        <v>709</v>
      </c>
      <c r="B5" s="322" t="str">
        <f>Ubicación</f>
        <v>JACHAL</v>
      </c>
      <c r="C5" s="322"/>
      <c r="D5" s="323"/>
      <c r="E5" s="324"/>
      <c r="F5" s="325"/>
      <c r="G5" s="326"/>
    </row>
    <row r="6" spans="1:7">
      <c r="A6" s="322"/>
      <c r="B6" s="322"/>
      <c r="C6" s="322"/>
      <c r="D6" s="323"/>
      <c r="E6" s="324"/>
      <c r="F6" s="325"/>
      <c r="G6" s="326"/>
    </row>
    <row r="7" spans="1:7">
      <c r="A7" s="322"/>
      <c r="B7" s="327"/>
      <c r="C7" s="328" t="s">
        <v>1666</v>
      </c>
      <c r="D7" s="323"/>
      <c r="E7" s="324"/>
      <c r="F7" s="322"/>
      <c r="G7" s="329"/>
    </row>
    <row r="8" spans="1:7">
      <c r="A8" s="322"/>
      <c r="B8" s="327"/>
      <c r="C8" s="330"/>
      <c r="D8" s="331" t="s">
        <v>1667</v>
      </c>
      <c r="F8" s="322"/>
      <c r="G8" s="329"/>
    </row>
    <row r="9" spans="1:7">
      <c r="A9" s="322"/>
      <c r="B9" s="327"/>
      <c r="C9" s="330"/>
      <c r="D9" s="324"/>
      <c r="F9" s="322"/>
      <c r="G9" s="329"/>
    </row>
    <row r="10" spans="1:7">
      <c r="A10" s="332" t="s">
        <v>1668</v>
      </c>
      <c r="C10" s="316" t="s">
        <v>1008</v>
      </c>
      <c r="D10" s="355">
        <f>IF(V_U_Equipo+8*Interés_Anual/(2*2000)=0,0,8*Porcentaje_amortizaciónl_Equipo/V_U_Equipo)</f>
        <v>0</v>
      </c>
      <c r="F10" s="333"/>
      <c r="G10" s="329"/>
    </row>
    <row r="11" spans="1:7">
      <c r="A11" s="334"/>
      <c r="C11" s="327"/>
      <c r="D11" s="356"/>
      <c r="F11" s="336"/>
      <c r="G11" s="329"/>
    </row>
    <row r="12" spans="1:7">
      <c r="A12" s="322"/>
      <c r="D12" s="357"/>
      <c r="F12" s="322"/>
      <c r="G12" s="329"/>
    </row>
    <row r="13" spans="1:7">
      <c r="A13" s="332" t="s">
        <v>1009</v>
      </c>
      <c r="C13" s="316" t="s">
        <v>1009</v>
      </c>
      <c r="D13" s="355">
        <f>IF(V_U_Equipo+8*Interés_Anual/(2*2000)=0,0,8*Interés_Anual/(2*2000))</f>
        <v>0</v>
      </c>
      <c r="F13" s="333"/>
      <c r="G13" s="329"/>
    </row>
    <row r="14" spans="1:7">
      <c r="A14" s="334"/>
      <c r="C14" s="327"/>
      <c r="D14" s="356"/>
      <c r="F14" s="336"/>
      <c r="G14" s="329"/>
    </row>
    <row r="15" spans="1:7">
      <c r="A15" s="334"/>
      <c r="C15" s="327"/>
      <c r="D15" s="356"/>
      <c r="F15" s="336"/>
      <c r="G15" s="329"/>
    </row>
    <row r="16" spans="1:7">
      <c r="A16" s="332" t="s">
        <v>1010</v>
      </c>
      <c r="C16" s="316" t="s">
        <v>1010</v>
      </c>
      <c r="D16" s="355">
        <f>IF(V_U_Equipo*Porc_repuestos_reparaciones_de_amortización=0,0,8*Porcentaje_amortizaciónl_Equipo/V_U_Equipo*Porc_repuestos_reparaciones_de_amortización)</f>
        <v>0</v>
      </c>
      <c r="F16" s="336"/>
      <c r="G16" s="329"/>
    </row>
    <row r="17" spans="1:7">
      <c r="A17" s="332"/>
      <c r="C17" s="327"/>
      <c r="D17" s="335"/>
      <c r="F17" s="322"/>
      <c r="G17" s="323"/>
    </row>
    <row r="18" spans="1:7">
      <c r="A18" s="332"/>
      <c r="C18" s="327"/>
      <c r="F18" s="322"/>
      <c r="G18" s="323"/>
    </row>
    <row r="19" spans="1:7">
      <c r="A19" s="332" t="s">
        <v>1617</v>
      </c>
      <c r="C19" s="316" t="s">
        <v>869</v>
      </c>
      <c r="D19" s="354">
        <f>Consumo_gasoil_Equipo_porHP*8*Precio_gasoil</f>
        <v>0</v>
      </c>
      <c r="F19" s="322"/>
      <c r="G19" s="323"/>
    </row>
    <row r="20" spans="1:7">
      <c r="A20" s="322"/>
      <c r="C20" s="327"/>
      <c r="F20" s="322"/>
      <c r="G20" s="323"/>
    </row>
    <row r="21" spans="1:7">
      <c r="A21" s="322"/>
      <c r="C21" s="327"/>
      <c r="F21" s="322"/>
      <c r="G21" s="323"/>
    </row>
    <row r="22" spans="1:7">
      <c r="A22" s="322"/>
      <c r="C22" s="316" t="s">
        <v>1011</v>
      </c>
      <c r="D22" s="354">
        <f>Consumo_gasoil_Equipo_porHP*8*Precio_gasoil*Porcentaje_lubricantes_respecto_al_combustible</f>
        <v>0</v>
      </c>
      <c r="F22" s="322"/>
      <c r="G22" s="337"/>
    </row>
    <row r="23" spans="1:7">
      <c r="A23" s="322"/>
      <c r="B23" s="327"/>
      <c r="C23" s="327"/>
      <c r="E23" s="337"/>
      <c r="F23" s="322"/>
      <c r="G23" s="323"/>
    </row>
    <row r="24" spans="1:7">
      <c r="A24" s="322"/>
      <c r="B24" s="327" t="s">
        <v>1669</v>
      </c>
      <c r="E24" s="335"/>
      <c r="F24" s="322"/>
      <c r="G24" s="338"/>
    </row>
    <row r="25" spans="1:7">
      <c r="A25" s="322"/>
      <c r="B25" s="339" t="s">
        <v>1670</v>
      </c>
      <c r="C25" s="340"/>
      <c r="D25" s="341"/>
      <c r="E25" s="324"/>
      <c r="F25" s="322"/>
      <c r="G25" s="338"/>
    </row>
    <row r="26" spans="1:7">
      <c r="A26" s="322"/>
      <c r="B26" s="339" t="s">
        <v>1671</v>
      </c>
      <c r="C26" s="340"/>
      <c r="D26" s="342"/>
      <c r="E26" s="324"/>
      <c r="F26" s="322"/>
      <c r="G26" s="338"/>
    </row>
    <row r="27" spans="1:7">
      <c r="A27" s="322"/>
      <c r="B27" s="343" t="s">
        <v>1672</v>
      </c>
      <c r="C27" s="340"/>
      <c r="D27" s="342"/>
      <c r="E27" s="324"/>
      <c r="F27" s="322"/>
      <c r="G27" s="338"/>
    </row>
    <row r="28" spans="1:7">
      <c r="A28" s="322"/>
      <c r="B28" s="343" t="s">
        <v>1673</v>
      </c>
      <c r="C28" s="340"/>
      <c r="D28" s="342"/>
      <c r="E28" s="324"/>
      <c r="F28" s="322"/>
      <c r="G28" s="338"/>
    </row>
    <row r="29" spans="1:7">
      <c r="A29" s="322"/>
      <c r="B29" s="343" t="s">
        <v>1674</v>
      </c>
      <c r="C29" s="340"/>
      <c r="D29" s="344"/>
      <c r="E29" s="324"/>
      <c r="F29" s="322"/>
      <c r="G29" s="338"/>
    </row>
    <row r="30" spans="1:7">
      <c r="A30" s="322"/>
      <c r="B30" s="343" t="s">
        <v>1675</v>
      </c>
      <c r="C30" s="340"/>
      <c r="D30" s="345"/>
      <c r="E30" s="324"/>
      <c r="F30" s="322"/>
      <c r="G30" s="323"/>
    </row>
    <row r="31" spans="1:7">
      <c r="A31" s="322"/>
      <c r="B31" s="343" t="s">
        <v>1676</v>
      </c>
      <c r="C31" s="340"/>
      <c r="D31" s="342"/>
      <c r="E31" s="324"/>
      <c r="F31" s="322"/>
      <c r="G31" s="323"/>
    </row>
    <row r="33" spans="1:7">
      <c r="C33" s="328" t="s">
        <v>1677</v>
      </c>
    </row>
    <row r="34" spans="1:7">
      <c r="C34" s="328"/>
      <c r="E34" s="316" t="s">
        <v>1667</v>
      </c>
    </row>
    <row r="35" spans="1:7">
      <c r="A35" s="322"/>
      <c r="B35" s="327"/>
      <c r="C35" s="330"/>
      <c r="D35" s="323"/>
      <c r="E35" s="324"/>
      <c r="F35" s="322"/>
      <c r="G35" s="323"/>
    </row>
    <row r="36" spans="1:7">
      <c r="A36" s="322"/>
      <c r="B36" s="327"/>
      <c r="C36" s="316" t="s">
        <v>1008</v>
      </c>
      <c r="D36" s="333"/>
      <c r="E36" s="346">
        <f>IF(V_U_Camioneta_meses=0,0,P_Camioneta_Amortizar/V_U_Camioneta_meses)</f>
        <v>0</v>
      </c>
      <c r="F36" s="333"/>
      <c r="G36" s="328"/>
    </row>
    <row r="37" spans="1:7">
      <c r="A37" s="322"/>
      <c r="B37" s="327"/>
      <c r="C37" s="327"/>
      <c r="D37" s="333"/>
      <c r="E37" s="337"/>
      <c r="F37" s="333"/>
      <c r="G37" s="328"/>
    </row>
    <row r="38" spans="1:7">
      <c r="A38" s="322"/>
      <c r="B38" s="327"/>
      <c r="D38" s="324"/>
      <c r="E38" s="335"/>
      <c r="F38" s="336"/>
      <c r="G38" s="329"/>
    </row>
    <row r="39" spans="1:7">
      <c r="A39" s="322"/>
      <c r="B39" s="327"/>
      <c r="C39" s="316" t="s">
        <v>1009</v>
      </c>
      <c r="D39" s="324"/>
      <c r="E39" s="346">
        <f>Interés_Anual/(2*12)</f>
        <v>0</v>
      </c>
      <c r="F39" s="336"/>
      <c r="G39" s="329"/>
    </row>
    <row r="40" spans="1:7">
      <c r="A40" s="322"/>
      <c r="B40" s="327"/>
      <c r="C40" s="327"/>
      <c r="D40" s="324"/>
      <c r="E40" s="335"/>
      <c r="F40" s="336"/>
      <c r="G40" s="329"/>
    </row>
    <row r="41" spans="1:7">
      <c r="A41" s="322"/>
      <c r="B41" s="327"/>
      <c r="C41" s="327"/>
      <c r="D41" s="324"/>
      <c r="E41" s="335"/>
      <c r="F41" s="336"/>
      <c r="G41" s="329"/>
    </row>
    <row r="42" spans="1:7">
      <c r="A42" s="322"/>
      <c r="B42" s="327"/>
      <c r="C42" s="316" t="s">
        <v>1691</v>
      </c>
      <c r="D42" s="324"/>
      <c r="E42" s="346">
        <f>D59/12</f>
        <v>0</v>
      </c>
      <c r="F42" s="336"/>
      <c r="G42" s="329"/>
    </row>
    <row r="43" spans="1:7">
      <c r="A43" s="322"/>
      <c r="B43" s="327"/>
      <c r="C43" s="327"/>
      <c r="E43" s="335"/>
      <c r="F43" s="322"/>
      <c r="G43" s="323"/>
    </row>
    <row r="44" spans="1:7">
      <c r="A44" s="322"/>
      <c r="B44" s="327"/>
      <c r="C44" s="327"/>
      <c r="E44" s="335"/>
      <c r="F44" s="322"/>
      <c r="G44" s="323"/>
    </row>
    <row r="45" spans="1:7">
      <c r="A45" s="322"/>
      <c r="B45" s="327"/>
      <c r="C45" s="316" t="s">
        <v>1678</v>
      </c>
      <c r="E45" s="346">
        <f>D60/12</f>
        <v>0</v>
      </c>
      <c r="F45" s="322"/>
      <c r="G45" s="323"/>
    </row>
    <row r="46" spans="1:7">
      <c r="A46" s="322"/>
      <c r="B46" s="327"/>
      <c r="C46" s="327"/>
      <c r="E46" s="335"/>
      <c r="F46" s="322"/>
      <c r="G46" s="323"/>
    </row>
    <row r="47" spans="1:7">
      <c r="A47" s="322"/>
      <c r="B47" s="327"/>
      <c r="C47" s="327"/>
      <c r="E47" s="335"/>
      <c r="F47" s="322"/>
      <c r="G47" s="323"/>
    </row>
    <row r="48" spans="1:7">
      <c r="A48" s="322"/>
      <c r="B48" s="327"/>
      <c r="C48" s="316" t="s">
        <v>1617</v>
      </c>
      <c r="E48" s="347">
        <f>Consumo_gasoil_Camioneta_porkm*Precio_gasoil*(1+Porcentaje_Lubricantes_Camionetas)</f>
        <v>0</v>
      </c>
      <c r="F48" s="322"/>
      <c r="G48" s="323"/>
    </row>
    <row r="49" spans="1:7">
      <c r="A49" s="322"/>
      <c r="B49" s="327"/>
      <c r="C49" s="327"/>
      <c r="E49" s="335"/>
      <c r="F49" s="322"/>
      <c r="G49" s="323"/>
    </row>
    <row r="50" spans="1:7">
      <c r="A50" s="322"/>
      <c r="B50" s="327"/>
      <c r="C50" s="327"/>
      <c r="E50" s="335"/>
      <c r="F50" s="322"/>
      <c r="G50" s="323"/>
    </row>
    <row r="51" spans="1:7">
      <c r="A51" s="322"/>
      <c r="B51" s="327"/>
      <c r="C51" s="327" t="s">
        <v>1679</v>
      </c>
      <c r="E51" s="347">
        <f>IF(V_U_cámara_cubiertas_Camionetas=0,0,Cant_Cubiertas_Camioneta*Costo_de_cámaras_y_cubiertas_Camionetas/V_U_cámara_cubiertas_Camionetas)</f>
        <v>0</v>
      </c>
      <c r="F51" s="322"/>
      <c r="G51" s="323"/>
    </row>
    <row r="52" spans="1:7">
      <c r="A52" s="322"/>
      <c r="B52" s="327"/>
      <c r="C52" s="327"/>
      <c r="E52" s="335"/>
      <c r="F52" s="322"/>
      <c r="G52" s="323"/>
    </row>
    <row r="53" spans="1:7">
      <c r="A53" s="322"/>
      <c r="B53" s="327"/>
      <c r="C53" s="327"/>
      <c r="E53" s="335"/>
      <c r="F53" s="322"/>
      <c r="G53" s="323"/>
    </row>
    <row r="54" spans="1:7">
      <c r="A54" s="322"/>
      <c r="B54" s="327"/>
      <c r="C54" s="327"/>
      <c r="E54" s="337"/>
      <c r="F54" s="322"/>
      <c r="G54" s="323"/>
    </row>
    <row r="55" spans="1:7">
      <c r="B55" s="339" t="s">
        <v>1680</v>
      </c>
      <c r="C55" s="340"/>
      <c r="D55" s="342"/>
    </row>
    <row r="56" spans="1:7">
      <c r="B56" s="348" t="s">
        <v>1681</v>
      </c>
      <c r="C56" s="340"/>
      <c r="D56" s="349"/>
    </row>
    <row r="57" spans="1:7">
      <c r="B57" s="348" t="s">
        <v>1682</v>
      </c>
      <c r="C57" s="340"/>
      <c r="D57" s="350"/>
    </row>
    <row r="58" spans="1:7">
      <c r="B58" s="348" t="s">
        <v>1683</v>
      </c>
      <c r="C58" s="340"/>
      <c r="D58" s="358"/>
    </row>
    <row r="59" spans="1:7">
      <c r="B59" s="348" t="s">
        <v>1684</v>
      </c>
      <c r="C59" s="340"/>
      <c r="D59" s="342"/>
    </row>
    <row r="60" spans="1:7">
      <c r="B60" s="348" t="s">
        <v>1685</v>
      </c>
      <c r="C60" s="340"/>
      <c r="D60" s="342"/>
    </row>
    <row r="61" spans="1:7">
      <c r="B61" s="348" t="s">
        <v>1686</v>
      </c>
      <c r="C61" s="340"/>
      <c r="D61" s="351"/>
    </row>
    <row r="62" spans="1:7">
      <c r="B62" s="348" t="s">
        <v>1687</v>
      </c>
      <c r="C62" s="340"/>
      <c r="D62" s="342"/>
    </row>
    <row r="63" spans="1:7">
      <c r="B63" s="348" t="s">
        <v>1688</v>
      </c>
      <c r="C63" s="340"/>
      <c r="D63" s="352"/>
    </row>
    <row r="64" spans="1:7">
      <c r="B64" s="348" t="s">
        <v>1689</v>
      </c>
      <c r="C64" s="340"/>
      <c r="D64" s="359"/>
    </row>
    <row r="65" spans="2:4">
      <c r="B65" s="348" t="s">
        <v>1690</v>
      </c>
      <c r="C65" s="340"/>
      <c r="D65" s="35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22" workbookViewId="0">
      <selection activeCell="F30" sqref="F30"/>
    </sheetView>
  </sheetViews>
  <sheetFormatPr baseColWidth="10" defaultRowHeight="15" customHeight="1"/>
  <cols>
    <col min="1" max="14" width="10.7109375" style="362" customWidth="1"/>
    <col min="15" max="15" width="23.7109375" style="362" customWidth="1"/>
    <col min="16" max="16" width="10.28515625" style="362" customWidth="1"/>
    <col min="17" max="256" width="11.42578125" style="362"/>
    <col min="257" max="257" width="7" style="362" customWidth="1"/>
    <col min="258" max="258" width="10.7109375" style="362" customWidth="1"/>
    <col min="259" max="259" width="10.5703125" style="362" customWidth="1"/>
    <col min="260" max="260" width="10.7109375" style="362" customWidth="1"/>
    <col min="261" max="261" width="10.28515625" style="362" customWidth="1"/>
    <col min="262" max="262" width="10.7109375" style="362" customWidth="1"/>
    <col min="263" max="263" width="9.42578125" style="362" customWidth="1"/>
    <col min="264" max="264" width="10.5703125" style="362" customWidth="1"/>
    <col min="265" max="265" width="13.7109375" style="362" customWidth="1"/>
    <col min="266" max="267" width="10.42578125" style="362" customWidth="1"/>
    <col min="268" max="268" width="10.28515625" style="362" customWidth="1"/>
    <col min="269" max="269" width="9.42578125" style="362" customWidth="1"/>
    <col min="270" max="270" width="8.7109375" style="362" customWidth="1"/>
    <col min="271" max="271" width="10.42578125" style="362" customWidth="1"/>
    <col min="272" max="272" width="10.28515625" style="362" customWidth="1"/>
    <col min="273" max="512" width="11.42578125" style="362"/>
    <col min="513" max="513" width="7" style="362" customWidth="1"/>
    <col min="514" max="514" width="10.7109375" style="362" customWidth="1"/>
    <col min="515" max="515" width="10.5703125" style="362" customWidth="1"/>
    <col min="516" max="516" width="10.7109375" style="362" customWidth="1"/>
    <col min="517" max="517" width="10.28515625" style="362" customWidth="1"/>
    <col min="518" max="518" width="10.7109375" style="362" customWidth="1"/>
    <col min="519" max="519" width="9.42578125" style="362" customWidth="1"/>
    <col min="520" max="520" width="10.5703125" style="362" customWidth="1"/>
    <col min="521" max="521" width="13.7109375" style="362" customWidth="1"/>
    <col min="522" max="523" width="10.42578125" style="362" customWidth="1"/>
    <col min="524" max="524" width="10.28515625" style="362" customWidth="1"/>
    <col min="525" max="525" width="9.42578125" style="362" customWidth="1"/>
    <col min="526" max="526" width="8.7109375" style="362" customWidth="1"/>
    <col min="527" max="527" width="10.42578125" style="362" customWidth="1"/>
    <col min="528" max="528" width="10.28515625" style="362" customWidth="1"/>
    <col min="529" max="768" width="11.42578125" style="362"/>
    <col min="769" max="769" width="7" style="362" customWidth="1"/>
    <col min="770" max="770" width="10.7109375" style="362" customWidth="1"/>
    <col min="771" max="771" width="10.5703125" style="362" customWidth="1"/>
    <col min="772" max="772" width="10.7109375" style="362" customWidth="1"/>
    <col min="773" max="773" width="10.28515625" style="362" customWidth="1"/>
    <col min="774" max="774" width="10.7109375" style="362" customWidth="1"/>
    <col min="775" max="775" width="9.42578125" style="362" customWidth="1"/>
    <col min="776" max="776" width="10.5703125" style="362" customWidth="1"/>
    <col min="777" max="777" width="13.7109375" style="362" customWidth="1"/>
    <col min="778" max="779" width="10.42578125" style="362" customWidth="1"/>
    <col min="780" max="780" width="10.28515625" style="362" customWidth="1"/>
    <col min="781" max="781" width="9.42578125" style="362" customWidth="1"/>
    <col min="782" max="782" width="8.7109375" style="362" customWidth="1"/>
    <col min="783" max="783" width="10.42578125" style="362" customWidth="1"/>
    <col min="784" max="784" width="10.28515625" style="362" customWidth="1"/>
    <col min="785" max="1024" width="11.42578125" style="362"/>
    <col min="1025" max="1025" width="7" style="362" customWidth="1"/>
    <col min="1026" max="1026" width="10.7109375" style="362" customWidth="1"/>
    <col min="1027" max="1027" width="10.5703125" style="362" customWidth="1"/>
    <col min="1028" max="1028" width="10.7109375" style="362" customWidth="1"/>
    <col min="1029" max="1029" width="10.28515625" style="362" customWidth="1"/>
    <col min="1030" max="1030" width="10.7109375" style="362" customWidth="1"/>
    <col min="1031" max="1031" width="9.42578125" style="362" customWidth="1"/>
    <col min="1032" max="1032" width="10.5703125" style="362" customWidth="1"/>
    <col min="1033" max="1033" width="13.7109375" style="362" customWidth="1"/>
    <col min="1034" max="1035" width="10.42578125" style="362" customWidth="1"/>
    <col min="1036" max="1036" width="10.28515625" style="362" customWidth="1"/>
    <col min="1037" max="1037" width="9.42578125" style="362" customWidth="1"/>
    <col min="1038" max="1038" width="8.7109375" style="362" customWidth="1"/>
    <col min="1039" max="1039" width="10.42578125" style="362" customWidth="1"/>
    <col min="1040" max="1040" width="10.28515625" style="362" customWidth="1"/>
    <col min="1041" max="1280" width="11.42578125" style="362"/>
    <col min="1281" max="1281" width="7" style="362" customWidth="1"/>
    <col min="1282" max="1282" width="10.7109375" style="362" customWidth="1"/>
    <col min="1283" max="1283" width="10.5703125" style="362" customWidth="1"/>
    <col min="1284" max="1284" width="10.7109375" style="362" customWidth="1"/>
    <col min="1285" max="1285" width="10.28515625" style="362" customWidth="1"/>
    <col min="1286" max="1286" width="10.7109375" style="362" customWidth="1"/>
    <col min="1287" max="1287" width="9.42578125" style="362" customWidth="1"/>
    <col min="1288" max="1288" width="10.5703125" style="362" customWidth="1"/>
    <col min="1289" max="1289" width="13.7109375" style="362" customWidth="1"/>
    <col min="1290" max="1291" width="10.42578125" style="362" customWidth="1"/>
    <col min="1292" max="1292" width="10.28515625" style="362" customWidth="1"/>
    <col min="1293" max="1293" width="9.42578125" style="362" customWidth="1"/>
    <col min="1294" max="1294" width="8.7109375" style="362" customWidth="1"/>
    <col min="1295" max="1295" width="10.42578125" style="362" customWidth="1"/>
    <col min="1296" max="1296" width="10.28515625" style="362" customWidth="1"/>
    <col min="1297" max="1536" width="11.42578125" style="362"/>
    <col min="1537" max="1537" width="7" style="362" customWidth="1"/>
    <col min="1538" max="1538" width="10.7109375" style="362" customWidth="1"/>
    <col min="1539" max="1539" width="10.5703125" style="362" customWidth="1"/>
    <col min="1540" max="1540" width="10.7109375" style="362" customWidth="1"/>
    <col min="1541" max="1541" width="10.28515625" style="362" customWidth="1"/>
    <col min="1542" max="1542" width="10.7109375" style="362" customWidth="1"/>
    <col min="1543" max="1543" width="9.42578125" style="362" customWidth="1"/>
    <col min="1544" max="1544" width="10.5703125" style="362" customWidth="1"/>
    <col min="1545" max="1545" width="13.7109375" style="362" customWidth="1"/>
    <col min="1546" max="1547" width="10.42578125" style="362" customWidth="1"/>
    <col min="1548" max="1548" width="10.28515625" style="362" customWidth="1"/>
    <col min="1549" max="1549" width="9.42578125" style="362" customWidth="1"/>
    <col min="1550" max="1550" width="8.7109375" style="362" customWidth="1"/>
    <col min="1551" max="1551" width="10.42578125" style="362" customWidth="1"/>
    <col min="1552" max="1552" width="10.28515625" style="362" customWidth="1"/>
    <col min="1553" max="1792" width="11.42578125" style="362"/>
    <col min="1793" max="1793" width="7" style="362" customWidth="1"/>
    <col min="1794" max="1794" width="10.7109375" style="362" customWidth="1"/>
    <col min="1795" max="1795" width="10.5703125" style="362" customWidth="1"/>
    <col min="1796" max="1796" width="10.7109375" style="362" customWidth="1"/>
    <col min="1797" max="1797" width="10.28515625" style="362" customWidth="1"/>
    <col min="1798" max="1798" width="10.7109375" style="362" customWidth="1"/>
    <col min="1799" max="1799" width="9.42578125" style="362" customWidth="1"/>
    <col min="1800" max="1800" width="10.5703125" style="362" customWidth="1"/>
    <col min="1801" max="1801" width="13.7109375" style="362" customWidth="1"/>
    <col min="1802" max="1803" width="10.42578125" style="362" customWidth="1"/>
    <col min="1804" max="1804" width="10.28515625" style="362" customWidth="1"/>
    <col min="1805" max="1805" width="9.42578125" style="362" customWidth="1"/>
    <col min="1806" max="1806" width="8.7109375" style="362" customWidth="1"/>
    <col min="1807" max="1807" width="10.42578125" style="362" customWidth="1"/>
    <col min="1808" max="1808" width="10.28515625" style="362" customWidth="1"/>
    <col min="1809" max="2048" width="11.42578125" style="362"/>
    <col min="2049" max="2049" width="7" style="362" customWidth="1"/>
    <col min="2050" max="2050" width="10.7109375" style="362" customWidth="1"/>
    <col min="2051" max="2051" width="10.5703125" style="362" customWidth="1"/>
    <col min="2052" max="2052" width="10.7109375" style="362" customWidth="1"/>
    <col min="2053" max="2053" width="10.28515625" style="362" customWidth="1"/>
    <col min="2054" max="2054" width="10.7109375" style="362" customWidth="1"/>
    <col min="2055" max="2055" width="9.42578125" style="362" customWidth="1"/>
    <col min="2056" max="2056" width="10.5703125" style="362" customWidth="1"/>
    <col min="2057" max="2057" width="13.7109375" style="362" customWidth="1"/>
    <col min="2058" max="2059" width="10.42578125" style="362" customWidth="1"/>
    <col min="2060" max="2060" width="10.28515625" style="362" customWidth="1"/>
    <col min="2061" max="2061" width="9.42578125" style="362" customWidth="1"/>
    <col min="2062" max="2062" width="8.7109375" style="362" customWidth="1"/>
    <col min="2063" max="2063" width="10.42578125" style="362" customWidth="1"/>
    <col min="2064" max="2064" width="10.28515625" style="362" customWidth="1"/>
    <col min="2065" max="2304" width="11.42578125" style="362"/>
    <col min="2305" max="2305" width="7" style="362" customWidth="1"/>
    <col min="2306" max="2306" width="10.7109375" style="362" customWidth="1"/>
    <col min="2307" max="2307" width="10.5703125" style="362" customWidth="1"/>
    <col min="2308" max="2308" width="10.7109375" style="362" customWidth="1"/>
    <col min="2309" max="2309" width="10.28515625" style="362" customWidth="1"/>
    <col min="2310" max="2310" width="10.7109375" style="362" customWidth="1"/>
    <col min="2311" max="2311" width="9.42578125" style="362" customWidth="1"/>
    <col min="2312" max="2312" width="10.5703125" style="362" customWidth="1"/>
    <col min="2313" max="2313" width="13.7109375" style="362" customWidth="1"/>
    <col min="2314" max="2315" width="10.42578125" style="362" customWidth="1"/>
    <col min="2316" max="2316" width="10.28515625" style="362" customWidth="1"/>
    <col min="2317" max="2317" width="9.42578125" style="362" customWidth="1"/>
    <col min="2318" max="2318" width="8.7109375" style="362" customWidth="1"/>
    <col min="2319" max="2319" width="10.42578125" style="362" customWidth="1"/>
    <col min="2320" max="2320" width="10.28515625" style="362" customWidth="1"/>
    <col min="2321" max="2560" width="11.42578125" style="362"/>
    <col min="2561" max="2561" width="7" style="362" customWidth="1"/>
    <col min="2562" max="2562" width="10.7109375" style="362" customWidth="1"/>
    <col min="2563" max="2563" width="10.5703125" style="362" customWidth="1"/>
    <col min="2564" max="2564" width="10.7109375" style="362" customWidth="1"/>
    <col min="2565" max="2565" width="10.28515625" style="362" customWidth="1"/>
    <col min="2566" max="2566" width="10.7109375" style="362" customWidth="1"/>
    <col min="2567" max="2567" width="9.42578125" style="362" customWidth="1"/>
    <col min="2568" max="2568" width="10.5703125" style="362" customWidth="1"/>
    <col min="2569" max="2569" width="13.7109375" style="362" customWidth="1"/>
    <col min="2570" max="2571" width="10.42578125" style="362" customWidth="1"/>
    <col min="2572" max="2572" width="10.28515625" style="362" customWidth="1"/>
    <col min="2573" max="2573" width="9.42578125" style="362" customWidth="1"/>
    <col min="2574" max="2574" width="8.7109375" style="362" customWidth="1"/>
    <col min="2575" max="2575" width="10.42578125" style="362" customWidth="1"/>
    <col min="2576" max="2576" width="10.28515625" style="362" customWidth="1"/>
    <col min="2577" max="2816" width="11.42578125" style="362"/>
    <col min="2817" max="2817" width="7" style="362" customWidth="1"/>
    <col min="2818" max="2818" width="10.7109375" style="362" customWidth="1"/>
    <col min="2819" max="2819" width="10.5703125" style="362" customWidth="1"/>
    <col min="2820" max="2820" width="10.7109375" style="362" customWidth="1"/>
    <col min="2821" max="2821" width="10.28515625" style="362" customWidth="1"/>
    <col min="2822" max="2822" width="10.7109375" style="362" customWidth="1"/>
    <col min="2823" max="2823" width="9.42578125" style="362" customWidth="1"/>
    <col min="2824" max="2824" width="10.5703125" style="362" customWidth="1"/>
    <col min="2825" max="2825" width="13.7109375" style="362" customWidth="1"/>
    <col min="2826" max="2827" width="10.42578125" style="362" customWidth="1"/>
    <col min="2828" max="2828" width="10.28515625" style="362" customWidth="1"/>
    <col min="2829" max="2829" width="9.42578125" style="362" customWidth="1"/>
    <col min="2830" max="2830" width="8.7109375" style="362" customWidth="1"/>
    <col min="2831" max="2831" width="10.42578125" style="362" customWidth="1"/>
    <col min="2832" max="2832" width="10.28515625" style="362" customWidth="1"/>
    <col min="2833" max="3072" width="11.42578125" style="362"/>
    <col min="3073" max="3073" width="7" style="362" customWidth="1"/>
    <col min="3074" max="3074" width="10.7109375" style="362" customWidth="1"/>
    <col min="3075" max="3075" width="10.5703125" style="362" customWidth="1"/>
    <col min="3076" max="3076" width="10.7109375" style="362" customWidth="1"/>
    <col min="3077" max="3077" width="10.28515625" style="362" customWidth="1"/>
    <col min="3078" max="3078" width="10.7109375" style="362" customWidth="1"/>
    <col min="3079" max="3079" width="9.42578125" style="362" customWidth="1"/>
    <col min="3080" max="3080" width="10.5703125" style="362" customWidth="1"/>
    <col min="3081" max="3081" width="13.7109375" style="362" customWidth="1"/>
    <col min="3082" max="3083" width="10.42578125" style="362" customWidth="1"/>
    <col min="3084" max="3084" width="10.28515625" style="362" customWidth="1"/>
    <col min="3085" max="3085" width="9.42578125" style="362" customWidth="1"/>
    <col min="3086" max="3086" width="8.7109375" style="362" customWidth="1"/>
    <col min="3087" max="3087" width="10.42578125" style="362" customWidth="1"/>
    <col min="3088" max="3088" width="10.28515625" style="362" customWidth="1"/>
    <col min="3089" max="3328" width="11.42578125" style="362"/>
    <col min="3329" max="3329" width="7" style="362" customWidth="1"/>
    <col min="3330" max="3330" width="10.7109375" style="362" customWidth="1"/>
    <col min="3331" max="3331" width="10.5703125" style="362" customWidth="1"/>
    <col min="3332" max="3332" width="10.7109375" style="362" customWidth="1"/>
    <col min="3333" max="3333" width="10.28515625" style="362" customWidth="1"/>
    <col min="3334" max="3334" width="10.7109375" style="362" customWidth="1"/>
    <col min="3335" max="3335" width="9.42578125" style="362" customWidth="1"/>
    <col min="3336" max="3336" width="10.5703125" style="362" customWidth="1"/>
    <col min="3337" max="3337" width="13.7109375" style="362" customWidth="1"/>
    <col min="3338" max="3339" width="10.42578125" style="362" customWidth="1"/>
    <col min="3340" max="3340" width="10.28515625" style="362" customWidth="1"/>
    <col min="3341" max="3341" width="9.42578125" style="362" customWidth="1"/>
    <col min="3342" max="3342" width="8.7109375" style="362" customWidth="1"/>
    <col min="3343" max="3343" width="10.42578125" style="362" customWidth="1"/>
    <col min="3344" max="3344" width="10.28515625" style="362" customWidth="1"/>
    <col min="3345" max="3584" width="11.42578125" style="362"/>
    <col min="3585" max="3585" width="7" style="362" customWidth="1"/>
    <col min="3586" max="3586" width="10.7109375" style="362" customWidth="1"/>
    <col min="3587" max="3587" width="10.5703125" style="362" customWidth="1"/>
    <col min="3588" max="3588" width="10.7109375" style="362" customWidth="1"/>
    <col min="3589" max="3589" width="10.28515625" style="362" customWidth="1"/>
    <col min="3590" max="3590" width="10.7109375" style="362" customWidth="1"/>
    <col min="3591" max="3591" width="9.42578125" style="362" customWidth="1"/>
    <col min="3592" max="3592" width="10.5703125" style="362" customWidth="1"/>
    <col min="3593" max="3593" width="13.7109375" style="362" customWidth="1"/>
    <col min="3594" max="3595" width="10.42578125" style="362" customWidth="1"/>
    <col min="3596" max="3596" width="10.28515625" style="362" customWidth="1"/>
    <col min="3597" max="3597" width="9.42578125" style="362" customWidth="1"/>
    <col min="3598" max="3598" width="8.7109375" style="362" customWidth="1"/>
    <col min="3599" max="3599" width="10.42578125" style="362" customWidth="1"/>
    <col min="3600" max="3600" width="10.28515625" style="362" customWidth="1"/>
    <col min="3601" max="3840" width="11.42578125" style="362"/>
    <col min="3841" max="3841" width="7" style="362" customWidth="1"/>
    <col min="3842" max="3842" width="10.7109375" style="362" customWidth="1"/>
    <col min="3843" max="3843" width="10.5703125" style="362" customWidth="1"/>
    <col min="3844" max="3844" width="10.7109375" style="362" customWidth="1"/>
    <col min="3845" max="3845" width="10.28515625" style="362" customWidth="1"/>
    <col min="3846" max="3846" width="10.7109375" style="362" customWidth="1"/>
    <col min="3847" max="3847" width="9.42578125" style="362" customWidth="1"/>
    <col min="3848" max="3848" width="10.5703125" style="362" customWidth="1"/>
    <col min="3849" max="3849" width="13.7109375" style="362" customWidth="1"/>
    <col min="3850" max="3851" width="10.42578125" style="362" customWidth="1"/>
    <col min="3852" max="3852" width="10.28515625" style="362" customWidth="1"/>
    <col min="3853" max="3853" width="9.42578125" style="362" customWidth="1"/>
    <col min="3854" max="3854" width="8.7109375" style="362" customWidth="1"/>
    <col min="3855" max="3855" width="10.42578125" style="362" customWidth="1"/>
    <col min="3856" max="3856" width="10.28515625" style="362" customWidth="1"/>
    <col min="3857" max="4096" width="11.42578125" style="362"/>
    <col min="4097" max="4097" width="7" style="362" customWidth="1"/>
    <col min="4098" max="4098" width="10.7109375" style="362" customWidth="1"/>
    <col min="4099" max="4099" width="10.5703125" style="362" customWidth="1"/>
    <col min="4100" max="4100" width="10.7109375" style="362" customWidth="1"/>
    <col min="4101" max="4101" width="10.28515625" style="362" customWidth="1"/>
    <col min="4102" max="4102" width="10.7109375" style="362" customWidth="1"/>
    <col min="4103" max="4103" width="9.42578125" style="362" customWidth="1"/>
    <col min="4104" max="4104" width="10.5703125" style="362" customWidth="1"/>
    <col min="4105" max="4105" width="13.7109375" style="362" customWidth="1"/>
    <col min="4106" max="4107" width="10.42578125" style="362" customWidth="1"/>
    <col min="4108" max="4108" width="10.28515625" style="362" customWidth="1"/>
    <col min="4109" max="4109" width="9.42578125" style="362" customWidth="1"/>
    <col min="4110" max="4110" width="8.7109375" style="362" customWidth="1"/>
    <col min="4111" max="4111" width="10.42578125" style="362" customWidth="1"/>
    <col min="4112" max="4112" width="10.28515625" style="362" customWidth="1"/>
    <col min="4113" max="4352" width="11.42578125" style="362"/>
    <col min="4353" max="4353" width="7" style="362" customWidth="1"/>
    <col min="4354" max="4354" width="10.7109375" style="362" customWidth="1"/>
    <col min="4355" max="4355" width="10.5703125" style="362" customWidth="1"/>
    <col min="4356" max="4356" width="10.7109375" style="362" customWidth="1"/>
    <col min="4357" max="4357" width="10.28515625" style="362" customWidth="1"/>
    <col min="4358" max="4358" width="10.7109375" style="362" customWidth="1"/>
    <col min="4359" max="4359" width="9.42578125" style="362" customWidth="1"/>
    <col min="4360" max="4360" width="10.5703125" style="362" customWidth="1"/>
    <col min="4361" max="4361" width="13.7109375" style="362" customWidth="1"/>
    <col min="4362" max="4363" width="10.42578125" style="362" customWidth="1"/>
    <col min="4364" max="4364" width="10.28515625" style="362" customWidth="1"/>
    <col min="4365" max="4365" width="9.42578125" style="362" customWidth="1"/>
    <col min="4366" max="4366" width="8.7109375" style="362" customWidth="1"/>
    <col min="4367" max="4367" width="10.42578125" style="362" customWidth="1"/>
    <col min="4368" max="4368" width="10.28515625" style="362" customWidth="1"/>
    <col min="4369" max="4608" width="11.42578125" style="362"/>
    <col min="4609" max="4609" width="7" style="362" customWidth="1"/>
    <col min="4610" max="4610" width="10.7109375" style="362" customWidth="1"/>
    <col min="4611" max="4611" width="10.5703125" style="362" customWidth="1"/>
    <col min="4612" max="4612" width="10.7109375" style="362" customWidth="1"/>
    <col min="4613" max="4613" width="10.28515625" style="362" customWidth="1"/>
    <col min="4614" max="4614" width="10.7109375" style="362" customWidth="1"/>
    <col min="4615" max="4615" width="9.42578125" style="362" customWidth="1"/>
    <col min="4616" max="4616" width="10.5703125" style="362" customWidth="1"/>
    <col min="4617" max="4617" width="13.7109375" style="362" customWidth="1"/>
    <col min="4618" max="4619" width="10.42578125" style="362" customWidth="1"/>
    <col min="4620" max="4620" width="10.28515625" style="362" customWidth="1"/>
    <col min="4621" max="4621" width="9.42578125" style="362" customWidth="1"/>
    <col min="4622" max="4622" width="8.7109375" style="362" customWidth="1"/>
    <col min="4623" max="4623" width="10.42578125" style="362" customWidth="1"/>
    <col min="4624" max="4624" width="10.28515625" style="362" customWidth="1"/>
    <col min="4625" max="4864" width="11.42578125" style="362"/>
    <col min="4865" max="4865" width="7" style="362" customWidth="1"/>
    <col min="4866" max="4866" width="10.7109375" style="362" customWidth="1"/>
    <col min="4867" max="4867" width="10.5703125" style="362" customWidth="1"/>
    <col min="4868" max="4868" width="10.7109375" style="362" customWidth="1"/>
    <col min="4869" max="4869" width="10.28515625" style="362" customWidth="1"/>
    <col min="4870" max="4870" width="10.7109375" style="362" customWidth="1"/>
    <col min="4871" max="4871" width="9.42578125" style="362" customWidth="1"/>
    <col min="4872" max="4872" width="10.5703125" style="362" customWidth="1"/>
    <col min="4873" max="4873" width="13.7109375" style="362" customWidth="1"/>
    <col min="4874" max="4875" width="10.42578125" style="362" customWidth="1"/>
    <col min="4876" max="4876" width="10.28515625" style="362" customWidth="1"/>
    <col min="4877" max="4877" width="9.42578125" style="362" customWidth="1"/>
    <col min="4878" max="4878" width="8.7109375" style="362" customWidth="1"/>
    <col min="4879" max="4879" width="10.42578125" style="362" customWidth="1"/>
    <col min="4880" max="4880" width="10.28515625" style="362" customWidth="1"/>
    <col min="4881" max="5120" width="11.42578125" style="362"/>
    <col min="5121" max="5121" width="7" style="362" customWidth="1"/>
    <col min="5122" max="5122" width="10.7109375" style="362" customWidth="1"/>
    <col min="5123" max="5123" width="10.5703125" style="362" customWidth="1"/>
    <col min="5124" max="5124" width="10.7109375" style="362" customWidth="1"/>
    <col min="5125" max="5125" width="10.28515625" style="362" customWidth="1"/>
    <col min="5126" max="5126" width="10.7109375" style="362" customWidth="1"/>
    <col min="5127" max="5127" width="9.42578125" style="362" customWidth="1"/>
    <col min="5128" max="5128" width="10.5703125" style="362" customWidth="1"/>
    <col min="5129" max="5129" width="13.7109375" style="362" customWidth="1"/>
    <col min="5130" max="5131" width="10.42578125" style="362" customWidth="1"/>
    <col min="5132" max="5132" width="10.28515625" style="362" customWidth="1"/>
    <col min="5133" max="5133" width="9.42578125" style="362" customWidth="1"/>
    <col min="5134" max="5134" width="8.7109375" style="362" customWidth="1"/>
    <col min="5135" max="5135" width="10.42578125" style="362" customWidth="1"/>
    <col min="5136" max="5136" width="10.28515625" style="362" customWidth="1"/>
    <col min="5137" max="5376" width="11.42578125" style="362"/>
    <col min="5377" max="5377" width="7" style="362" customWidth="1"/>
    <col min="5378" max="5378" width="10.7109375" style="362" customWidth="1"/>
    <col min="5379" max="5379" width="10.5703125" style="362" customWidth="1"/>
    <col min="5380" max="5380" width="10.7109375" style="362" customWidth="1"/>
    <col min="5381" max="5381" width="10.28515625" style="362" customWidth="1"/>
    <col min="5382" max="5382" width="10.7109375" style="362" customWidth="1"/>
    <col min="5383" max="5383" width="9.42578125" style="362" customWidth="1"/>
    <col min="5384" max="5384" width="10.5703125" style="362" customWidth="1"/>
    <col min="5385" max="5385" width="13.7109375" style="362" customWidth="1"/>
    <col min="5386" max="5387" width="10.42578125" style="362" customWidth="1"/>
    <col min="5388" max="5388" width="10.28515625" style="362" customWidth="1"/>
    <col min="5389" max="5389" width="9.42578125" style="362" customWidth="1"/>
    <col min="5390" max="5390" width="8.7109375" style="362" customWidth="1"/>
    <col min="5391" max="5391" width="10.42578125" style="362" customWidth="1"/>
    <col min="5392" max="5392" width="10.28515625" style="362" customWidth="1"/>
    <col min="5393" max="5632" width="11.42578125" style="362"/>
    <col min="5633" max="5633" width="7" style="362" customWidth="1"/>
    <col min="5634" max="5634" width="10.7109375" style="362" customWidth="1"/>
    <col min="5635" max="5635" width="10.5703125" style="362" customWidth="1"/>
    <col min="5636" max="5636" width="10.7109375" style="362" customWidth="1"/>
    <col min="5637" max="5637" width="10.28515625" style="362" customWidth="1"/>
    <col min="5638" max="5638" width="10.7109375" style="362" customWidth="1"/>
    <col min="5639" max="5639" width="9.42578125" style="362" customWidth="1"/>
    <col min="5640" max="5640" width="10.5703125" style="362" customWidth="1"/>
    <col min="5641" max="5641" width="13.7109375" style="362" customWidth="1"/>
    <col min="5642" max="5643" width="10.42578125" style="362" customWidth="1"/>
    <col min="5644" max="5644" width="10.28515625" style="362" customWidth="1"/>
    <col min="5645" max="5645" width="9.42578125" style="362" customWidth="1"/>
    <col min="5646" max="5646" width="8.7109375" style="362" customWidth="1"/>
    <col min="5647" max="5647" width="10.42578125" style="362" customWidth="1"/>
    <col min="5648" max="5648" width="10.28515625" style="362" customWidth="1"/>
    <col min="5649" max="5888" width="11.42578125" style="362"/>
    <col min="5889" max="5889" width="7" style="362" customWidth="1"/>
    <col min="5890" max="5890" width="10.7109375" style="362" customWidth="1"/>
    <col min="5891" max="5891" width="10.5703125" style="362" customWidth="1"/>
    <col min="5892" max="5892" width="10.7109375" style="362" customWidth="1"/>
    <col min="5893" max="5893" width="10.28515625" style="362" customWidth="1"/>
    <col min="5894" max="5894" width="10.7109375" style="362" customWidth="1"/>
    <col min="5895" max="5895" width="9.42578125" style="362" customWidth="1"/>
    <col min="5896" max="5896" width="10.5703125" style="362" customWidth="1"/>
    <col min="5897" max="5897" width="13.7109375" style="362" customWidth="1"/>
    <col min="5898" max="5899" width="10.42578125" style="362" customWidth="1"/>
    <col min="5900" max="5900" width="10.28515625" style="362" customWidth="1"/>
    <col min="5901" max="5901" width="9.42578125" style="362" customWidth="1"/>
    <col min="5902" max="5902" width="8.7109375" style="362" customWidth="1"/>
    <col min="5903" max="5903" width="10.42578125" style="362" customWidth="1"/>
    <col min="5904" max="5904" width="10.28515625" style="362" customWidth="1"/>
    <col min="5905" max="6144" width="11.42578125" style="362"/>
    <col min="6145" max="6145" width="7" style="362" customWidth="1"/>
    <col min="6146" max="6146" width="10.7109375" style="362" customWidth="1"/>
    <col min="6147" max="6147" width="10.5703125" style="362" customWidth="1"/>
    <col min="6148" max="6148" width="10.7109375" style="362" customWidth="1"/>
    <col min="6149" max="6149" width="10.28515625" style="362" customWidth="1"/>
    <col min="6150" max="6150" width="10.7109375" style="362" customWidth="1"/>
    <col min="6151" max="6151" width="9.42578125" style="362" customWidth="1"/>
    <col min="6152" max="6152" width="10.5703125" style="362" customWidth="1"/>
    <col min="6153" max="6153" width="13.7109375" style="362" customWidth="1"/>
    <col min="6154" max="6155" width="10.42578125" style="362" customWidth="1"/>
    <col min="6156" max="6156" width="10.28515625" style="362" customWidth="1"/>
    <col min="6157" max="6157" width="9.42578125" style="362" customWidth="1"/>
    <col min="6158" max="6158" width="8.7109375" style="362" customWidth="1"/>
    <col min="6159" max="6159" width="10.42578125" style="362" customWidth="1"/>
    <col min="6160" max="6160" width="10.28515625" style="362" customWidth="1"/>
    <col min="6161" max="6400" width="11.42578125" style="362"/>
    <col min="6401" max="6401" width="7" style="362" customWidth="1"/>
    <col min="6402" max="6402" width="10.7109375" style="362" customWidth="1"/>
    <col min="6403" max="6403" width="10.5703125" style="362" customWidth="1"/>
    <col min="6404" max="6404" width="10.7109375" style="362" customWidth="1"/>
    <col min="6405" max="6405" width="10.28515625" style="362" customWidth="1"/>
    <col min="6406" max="6406" width="10.7109375" style="362" customWidth="1"/>
    <col min="6407" max="6407" width="9.42578125" style="362" customWidth="1"/>
    <col min="6408" max="6408" width="10.5703125" style="362" customWidth="1"/>
    <col min="6409" max="6409" width="13.7109375" style="362" customWidth="1"/>
    <col min="6410" max="6411" width="10.42578125" style="362" customWidth="1"/>
    <col min="6412" max="6412" width="10.28515625" style="362" customWidth="1"/>
    <col min="6413" max="6413" width="9.42578125" style="362" customWidth="1"/>
    <col min="6414" max="6414" width="8.7109375" style="362" customWidth="1"/>
    <col min="6415" max="6415" width="10.42578125" style="362" customWidth="1"/>
    <col min="6416" max="6416" width="10.28515625" style="362" customWidth="1"/>
    <col min="6417" max="6656" width="11.42578125" style="362"/>
    <col min="6657" max="6657" width="7" style="362" customWidth="1"/>
    <col min="6658" max="6658" width="10.7109375" style="362" customWidth="1"/>
    <col min="6659" max="6659" width="10.5703125" style="362" customWidth="1"/>
    <col min="6660" max="6660" width="10.7109375" style="362" customWidth="1"/>
    <col min="6661" max="6661" width="10.28515625" style="362" customWidth="1"/>
    <col min="6662" max="6662" width="10.7109375" style="362" customWidth="1"/>
    <col min="6663" max="6663" width="9.42578125" style="362" customWidth="1"/>
    <col min="6664" max="6664" width="10.5703125" style="362" customWidth="1"/>
    <col min="6665" max="6665" width="13.7109375" style="362" customWidth="1"/>
    <col min="6666" max="6667" width="10.42578125" style="362" customWidth="1"/>
    <col min="6668" max="6668" width="10.28515625" style="362" customWidth="1"/>
    <col min="6669" max="6669" width="9.42578125" style="362" customWidth="1"/>
    <col min="6670" max="6670" width="8.7109375" style="362" customWidth="1"/>
    <col min="6671" max="6671" width="10.42578125" style="362" customWidth="1"/>
    <col min="6672" max="6672" width="10.28515625" style="362" customWidth="1"/>
    <col min="6673" max="6912" width="11.42578125" style="362"/>
    <col min="6913" max="6913" width="7" style="362" customWidth="1"/>
    <col min="6914" max="6914" width="10.7109375" style="362" customWidth="1"/>
    <col min="6915" max="6915" width="10.5703125" style="362" customWidth="1"/>
    <col min="6916" max="6916" width="10.7109375" style="362" customWidth="1"/>
    <col min="6917" max="6917" width="10.28515625" style="362" customWidth="1"/>
    <col min="6918" max="6918" width="10.7109375" style="362" customWidth="1"/>
    <col min="6919" max="6919" width="9.42578125" style="362" customWidth="1"/>
    <col min="6920" max="6920" width="10.5703125" style="362" customWidth="1"/>
    <col min="6921" max="6921" width="13.7109375" style="362" customWidth="1"/>
    <col min="6922" max="6923" width="10.42578125" style="362" customWidth="1"/>
    <col min="6924" max="6924" width="10.28515625" style="362" customWidth="1"/>
    <col min="6925" max="6925" width="9.42578125" style="362" customWidth="1"/>
    <col min="6926" max="6926" width="8.7109375" style="362" customWidth="1"/>
    <col min="6927" max="6927" width="10.42578125" style="362" customWidth="1"/>
    <col min="6928" max="6928" width="10.28515625" style="362" customWidth="1"/>
    <col min="6929" max="7168" width="11.42578125" style="362"/>
    <col min="7169" max="7169" width="7" style="362" customWidth="1"/>
    <col min="7170" max="7170" width="10.7109375" style="362" customWidth="1"/>
    <col min="7171" max="7171" width="10.5703125" style="362" customWidth="1"/>
    <col min="7172" max="7172" width="10.7109375" style="362" customWidth="1"/>
    <col min="7173" max="7173" width="10.28515625" style="362" customWidth="1"/>
    <col min="7174" max="7174" width="10.7109375" style="362" customWidth="1"/>
    <col min="7175" max="7175" width="9.42578125" style="362" customWidth="1"/>
    <col min="7176" max="7176" width="10.5703125" style="362" customWidth="1"/>
    <col min="7177" max="7177" width="13.7109375" style="362" customWidth="1"/>
    <col min="7178" max="7179" width="10.42578125" style="362" customWidth="1"/>
    <col min="7180" max="7180" width="10.28515625" style="362" customWidth="1"/>
    <col min="7181" max="7181" width="9.42578125" style="362" customWidth="1"/>
    <col min="7182" max="7182" width="8.7109375" style="362" customWidth="1"/>
    <col min="7183" max="7183" width="10.42578125" style="362" customWidth="1"/>
    <col min="7184" max="7184" width="10.28515625" style="362" customWidth="1"/>
    <col min="7185" max="7424" width="11.42578125" style="362"/>
    <col min="7425" max="7425" width="7" style="362" customWidth="1"/>
    <col min="7426" max="7426" width="10.7109375" style="362" customWidth="1"/>
    <col min="7427" max="7427" width="10.5703125" style="362" customWidth="1"/>
    <col min="7428" max="7428" width="10.7109375" style="362" customWidth="1"/>
    <col min="7429" max="7429" width="10.28515625" style="362" customWidth="1"/>
    <col min="7430" max="7430" width="10.7109375" style="362" customWidth="1"/>
    <col min="7431" max="7431" width="9.42578125" style="362" customWidth="1"/>
    <col min="7432" max="7432" width="10.5703125" style="362" customWidth="1"/>
    <col min="7433" max="7433" width="13.7109375" style="362" customWidth="1"/>
    <col min="7434" max="7435" width="10.42578125" style="362" customWidth="1"/>
    <col min="7436" max="7436" width="10.28515625" style="362" customWidth="1"/>
    <col min="7437" max="7437" width="9.42578125" style="362" customWidth="1"/>
    <col min="7438" max="7438" width="8.7109375" style="362" customWidth="1"/>
    <col min="7439" max="7439" width="10.42578125" style="362" customWidth="1"/>
    <col min="7440" max="7440" width="10.28515625" style="362" customWidth="1"/>
    <col min="7441" max="7680" width="11.42578125" style="362"/>
    <col min="7681" max="7681" width="7" style="362" customWidth="1"/>
    <col min="7682" max="7682" width="10.7109375" style="362" customWidth="1"/>
    <col min="7683" max="7683" width="10.5703125" style="362" customWidth="1"/>
    <col min="7684" max="7684" width="10.7109375" style="362" customWidth="1"/>
    <col min="7685" max="7685" width="10.28515625" style="362" customWidth="1"/>
    <col min="7686" max="7686" width="10.7109375" style="362" customWidth="1"/>
    <col min="7687" max="7687" width="9.42578125" style="362" customWidth="1"/>
    <col min="7688" max="7688" width="10.5703125" style="362" customWidth="1"/>
    <col min="7689" max="7689" width="13.7109375" style="362" customWidth="1"/>
    <col min="7690" max="7691" width="10.42578125" style="362" customWidth="1"/>
    <col min="7692" max="7692" width="10.28515625" style="362" customWidth="1"/>
    <col min="7693" max="7693" width="9.42578125" style="362" customWidth="1"/>
    <col min="7694" max="7694" width="8.7109375" style="362" customWidth="1"/>
    <col min="7695" max="7695" width="10.42578125" style="362" customWidth="1"/>
    <col min="7696" max="7696" width="10.28515625" style="362" customWidth="1"/>
    <col min="7697" max="7936" width="11.42578125" style="362"/>
    <col min="7937" max="7937" width="7" style="362" customWidth="1"/>
    <col min="7938" max="7938" width="10.7109375" style="362" customWidth="1"/>
    <col min="7939" max="7939" width="10.5703125" style="362" customWidth="1"/>
    <col min="7940" max="7940" width="10.7109375" style="362" customWidth="1"/>
    <col min="7941" max="7941" width="10.28515625" style="362" customWidth="1"/>
    <col min="7942" max="7942" width="10.7109375" style="362" customWidth="1"/>
    <col min="7943" max="7943" width="9.42578125" style="362" customWidth="1"/>
    <col min="7944" max="7944" width="10.5703125" style="362" customWidth="1"/>
    <col min="7945" max="7945" width="13.7109375" style="362" customWidth="1"/>
    <col min="7946" max="7947" width="10.42578125" style="362" customWidth="1"/>
    <col min="7948" max="7948" width="10.28515625" style="362" customWidth="1"/>
    <col min="7949" max="7949" width="9.42578125" style="362" customWidth="1"/>
    <col min="7950" max="7950" width="8.7109375" style="362" customWidth="1"/>
    <col min="7951" max="7951" width="10.42578125" style="362" customWidth="1"/>
    <col min="7952" max="7952" width="10.28515625" style="362" customWidth="1"/>
    <col min="7953" max="8192" width="11.42578125" style="362"/>
    <col min="8193" max="8193" width="7" style="362" customWidth="1"/>
    <col min="8194" max="8194" width="10.7109375" style="362" customWidth="1"/>
    <col min="8195" max="8195" width="10.5703125" style="362" customWidth="1"/>
    <col min="8196" max="8196" width="10.7109375" style="362" customWidth="1"/>
    <col min="8197" max="8197" width="10.28515625" style="362" customWidth="1"/>
    <col min="8198" max="8198" width="10.7109375" style="362" customWidth="1"/>
    <col min="8199" max="8199" width="9.42578125" style="362" customWidth="1"/>
    <col min="8200" max="8200" width="10.5703125" style="362" customWidth="1"/>
    <col min="8201" max="8201" width="13.7109375" style="362" customWidth="1"/>
    <col min="8202" max="8203" width="10.42578125" style="362" customWidth="1"/>
    <col min="8204" max="8204" width="10.28515625" style="362" customWidth="1"/>
    <col min="8205" max="8205" width="9.42578125" style="362" customWidth="1"/>
    <col min="8206" max="8206" width="8.7109375" style="362" customWidth="1"/>
    <col min="8207" max="8207" width="10.42578125" style="362" customWidth="1"/>
    <col min="8208" max="8208" width="10.28515625" style="362" customWidth="1"/>
    <col min="8209" max="8448" width="11.42578125" style="362"/>
    <col min="8449" max="8449" width="7" style="362" customWidth="1"/>
    <col min="8450" max="8450" width="10.7109375" style="362" customWidth="1"/>
    <col min="8451" max="8451" width="10.5703125" style="362" customWidth="1"/>
    <col min="8452" max="8452" width="10.7109375" style="362" customWidth="1"/>
    <col min="8453" max="8453" width="10.28515625" style="362" customWidth="1"/>
    <col min="8454" max="8454" width="10.7109375" style="362" customWidth="1"/>
    <col min="8455" max="8455" width="9.42578125" style="362" customWidth="1"/>
    <col min="8456" max="8456" width="10.5703125" style="362" customWidth="1"/>
    <col min="8457" max="8457" width="13.7109375" style="362" customWidth="1"/>
    <col min="8458" max="8459" width="10.42578125" style="362" customWidth="1"/>
    <col min="8460" max="8460" width="10.28515625" style="362" customWidth="1"/>
    <col min="8461" max="8461" width="9.42578125" style="362" customWidth="1"/>
    <col min="8462" max="8462" width="8.7109375" style="362" customWidth="1"/>
    <col min="8463" max="8463" width="10.42578125" style="362" customWidth="1"/>
    <col min="8464" max="8464" width="10.28515625" style="362" customWidth="1"/>
    <col min="8465" max="8704" width="11.42578125" style="362"/>
    <col min="8705" max="8705" width="7" style="362" customWidth="1"/>
    <col min="8706" max="8706" width="10.7109375" style="362" customWidth="1"/>
    <col min="8707" max="8707" width="10.5703125" style="362" customWidth="1"/>
    <col min="8708" max="8708" width="10.7109375" style="362" customWidth="1"/>
    <col min="8709" max="8709" width="10.28515625" style="362" customWidth="1"/>
    <col min="8710" max="8710" width="10.7109375" style="362" customWidth="1"/>
    <col min="8711" max="8711" width="9.42578125" style="362" customWidth="1"/>
    <col min="8712" max="8712" width="10.5703125" style="362" customWidth="1"/>
    <col min="8713" max="8713" width="13.7109375" style="362" customWidth="1"/>
    <col min="8714" max="8715" width="10.42578125" style="362" customWidth="1"/>
    <col min="8716" max="8716" width="10.28515625" style="362" customWidth="1"/>
    <col min="8717" max="8717" width="9.42578125" style="362" customWidth="1"/>
    <col min="8718" max="8718" width="8.7109375" style="362" customWidth="1"/>
    <col min="8719" max="8719" width="10.42578125" style="362" customWidth="1"/>
    <col min="8720" max="8720" width="10.28515625" style="362" customWidth="1"/>
    <col min="8721" max="8960" width="11.42578125" style="362"/>
    <col min="8961" max="8961" width="7" style="362" customWidth="1"/>
    <col min="8962" max="8962" width="10.7109375" style="362" customWidth="1"/>
    <col min="8963" max="8963" width="10.5703125" style="362" customWidth="1"/>
    <col min="8964" max="8964" width="10.7109375" style="362" customWidth="1"/>
    <col min="8965" max="8965" width="10.28515625" style="362" customWidth="1"/>
    <col min="8966" max="8966" width="10.7109375" style="362" customWidth="1"/>
    <col min="8967" max="8967" width="9.42578125" style="362" customWidth="1"/>
    <col min="8968" max="8968" width="10.5703125" style="362" customWidth="1"/>
    <col min="8969" max="8969" width="13.7109375" style="362" customWidth="1"/>
    <col min="8970" max="8971" width="10.42578125" style="362" customWidth="1"/>
    <col min="8972" max="8972" width="10.28515625" style="362" customWidth="1"/>
    <col min="8973" max="8973" width="9.42578125" style="362" customWidth="1"/>
    <col min="8974" max="8974" width="8.7109375" style="362" customWidth="1"/>
    <col min="8975" max="8975" width="10.42578125" style="362" customWidth="1"/>
    <col min="8976" max="8976" width="10.28515625" style="362" customWidth="1"/>
    <col min="8977" max="9216" width="11.42578125" style="362"/>
    <col min="9217" max="9217" width="7" style="362" customWidth="1"/>
    <col min="9218" max="9218" width="10.7109375" style="362" customWidth="1"/>
    <col min="9219" max="9219" width="10.5703125" style="362" customWidth="1"/>
    <col min="9220" max="9220" width="10.7109375" style="362" customWidth="1"/>
    <col min="9221" max="9221" width="10.28515625" style="362" customWidth="1"/>
    <col min="9222" max="9222" width="10.7109375" style="362" customWidth="1"/>
    <col min="9223" max="9223" width="9.42578125" style="362" customWidth="1"/>
    <col min="9224" max="9224" width="10.5703125" style="362" customWidth="1"/>
    <col min="9225" max="9225" width="13.7109375" style="362" customWidth="1"/>
    <col min="9226" max="9227" width="10.42578125" style="362" customWidth="1"/>
    <col min="9228" max="9228" width="10.28515625" style="362" customWidth="1"/>
    <col min="9229" max="9229" width="9.42578125" style="362" customWidth="1"/>
    <col min="9230" max="9230" width="8.7109375" style="362" customWidth="1"/>
    <col min="9231" max="9231" width="10.42578125" style="362" customWidth="1"/>
    <col min="9232" max="9232" width="10.28515625" style="362" customWidth="1"/>
    <col min="9233" max="9472" width="11.42578125" style="362"/>
    <col min="9473" max="9473" width="7" style="362" customWidth="1"/>
    <col min="9474" max="9474" width="10.7109375" style="362" customWidth="1"/>
    <col min="9475" max="9475" width="10.5703125" style="362" customWidth="1"/>
    <col min="9476" max="9476" width="10.7109375" style="362" customWidth="1"/>
    <col min="9477" max="9477" width="10.28515625" style="362" customWidth="1"/>
    <col min="9478" max="9478" width="10.7109375" style="362" customWidth="1"/>
    <col min="9479" max="9479" width="9.42578125" style="362" customWidth="1"/>
    <col min="9480" max="9480" width="10.5703125" style="362" customWidth="1"/>
    <col min="9481" max="9481" width="13.7109375" style="362" customWidth="1"/>
    <col min="9482" max="9483" width="10.42578125" style="362" customWidth="1"/>
    <col min="9484" max="9484" width="10.28515625" style="362" customWidth="1"/>
    <col min="9485" max="9485" width="9.42578125" style="362" customWidth="1"/>
    <col min="9486" max="9486" width="8.7109375" style="362" customWidth="1"/>
    <col min="9487" max="9487" width="10.42578125" style="362" customWidth="1"/>
    <col min="9488" max="9488" width="10.28515625" style="362" customWidth="1"/>
    <col min="9489" max="9728" width="11.42578125" style="362"/>
    <col min="9729" max="9729" width="7" style="362" customWidth="1"/>
    <col min="9730" max="9730" width="10.7109375" style="362" customWidth="1"/>
    <col min="9731" max="9731" width="10.5703125" style="362" customWidth="1"/>
    <col min="9732" max="9732" width="10.7109375" style="362" customWidth="1"/>
    <col min="9733" max="9733" width="10.28515625" style="362" customWidth="1"/>
    <col min="9734" max="9734" width="10.7109375" style="362" customWidth="1"/>
    <col min="9735" max="9735" width="9.42578125" style="362" customWidth="1"/>
    <col min="9736" max="9736" width="10.5703125" style="362" customWidth="1"/>
    <col min="9737" max="9737" width="13.7109375" style="362" customWidth="1"/>
    <col min="9738" max="9739" width="10.42578125" style="362" customWidth="1"/>
    <col min="9740" max="9740" width="10.28515625" style="362" customWidth="1"/>
    <col min="9741" max="9741" width="9.42578125" style="362" customWidth="1"/>
    <col min="9742" max="9742" width="8.7109375" style="362" customWidth="1"/>
    <col min="9743" max="9743" width="10.42578125" style="362" customWidth="1"/>
    <col min="9744" max="9744" width="10.28515625" style="362" customWidth="1"/>
    <col min="9745" max="9984" width="11.42578125" style="362"/>
    <col min="9985" max="9985" width="7" style="362" customWidth="1"/>
    <col min="9986" max="9986" width="10.7109375" style="362" customWidth="1"/>
    <col min="9987" max="9987" width="10.5703125" style="362" customWidth="1"/>
    <col min="9988" max="9988" width="10.7109375" style="362" customWidth="1"/>
    <col min="9989" max="9989" width="10.28515625" style="362" customWidth="1"/>
    <col min="9990" max="9990" width="10.7109375" style="362" customWidth="1"/>
    <col min="9991" max="9991" width="9.42578125" style="362" customWidth="1"/>
    <col min="9992" max="9992" width="10.5703125" style="362" customWidth="1"/>
    <col min="9993" max="9993" width="13.7109375" style="362" customWidth="1"/>
    <col min="9994" max="9995" width="10.42578125" style="362" customWidth="1"/>
    <col min="9996" max="9996" width="10.28515625" style="362" customWidth="1"/>
    <col min="9997" max="9997" width="9.42578125" style="362" customWidth="1"/>
    <col min="9998" max="9998" width="8.7109375" style="362" customWidth="1"/>
    <col min="9999" max="9999" width="10.42578125" style="362" customWidth="1"/>
    <col min="10000" max="10000" width="10.28515625" style="362" customWidth="1"/>
    <col min="10001" max="10240" width="11.42578125" style="362"/>
    <col min="10241" max="10241" width="7" style="362" customWidth="1"/>
    <col min="10242" max="10242" width="10.7109375" style="362" customWidth="1"/>
    <col min="10243" max="10243" width="10.5703125" style="362" customWidth="1"/>
    <col min="10244" max="10244" width="10.7109375" style="362" customWidth="1"/>
    <col min="10245" max="10245" width="10.28515625" style="362" customWidth="1"/>
    <col min="10246" max="10246" width="10.7109375" style="362" customWidth="1"/>
    <col min="10247" max="10247" width="9.42578125" style="362" customWidth="1"/>
    <col min="10248" max="10248" width="10.5703125" style="362" customWidth="1"/>
    <col min="10249" max="10249" width="13.7109375" style="362" customWidth="1"/>
    <col min="10250" max="10251" width="10.42578125" style="362" customWidth="1"/>
    <col min="10252" max="10252" width="10.28515625" style="362" customWidth="1"/>
    <col min="10253" max="10253" width="9.42578125" style="362" customWidth="1"/>
    <col min="10254" max="10254" width="8.7109375" style="362" customWidth="1"/>
    <col min="10255" max="10255" width="10.42578125" style="362" customWidth="1"/>
    <col min="10256" max="10256" width="10.28515625" style="362" customWidth="1"/>
    <col min="10257" max="10496" width="11.42578125" style="362"/>
    <col min="10497" max="10497" width="7" style="362" customWidth="1"/>
    <col min="10498" max="10498" width="10.7109375" style="362" customWidth="1"/>
    <col min="10499" max="10499" width="10.5703125" style="362" customWidth="1"/>
    <col min="10500" max="10500" width="10.7109375" style="362" customWidth="1"/>
    <col min="10501" max="10501" width="10.28515625" style="362" customWidth="1"/>
    <col min="10502" max="10502" width="10.7109375" style="362" customWidth="1"/>
    <col min="10503" max="10503" width="9.42578125" style="362" customWidth="1"/>
    <col min="10504" max="10504" width="10.5703125" style="362" customWidth="1"/>
    <col min="10505" max="10505" width="13.7109375" style="362" customWidth="1"/>
    <col min="10506" max="10507" width="10.42578125" style="362" customWidth="1"/>
    <col min="10508" max="10508" width="10.28515625" style="362" customWidth="1"/>
    <col min="10509" max="10509" width="9.42578125" style="362" customWidth="1"/>
    <col min="10510" max="10510" width="8.7109375" style="362" customWidth="1"/>
    <col min="10511" max="10511" width="10.42578125" style="362" customWidth="1"/>
    <col min="10512" max="10512" width="10.28515625" style="362" customWidth="1"/>
    <col min="10513" max="10752" width="11.42578125" style="362"/>
    <col min="10753" max="10753" width="7" style="362" customWidth="1"/>
    <col min="10754" max="10754" width="10.7109375" style="362" customWidth="1"/>
    <col min="10755" max="10755" width="10.5703125" style="362" customWidth="1"/>
    <col min="10756" max="10756" width="10.7109375" style="362" customWidth="1"/>
    <col min="10757" max="10757" width="10.28515625" style="362" customWidth="1"/>
    <col min="10758" max="10758" width="10.7109375" style="362" customWidth="1"/>
    <col min="10759" max="10759" width="9.42578125" style="362" customWidth="1"/>
    <col min="10760" max="10760" width="10.5703125" style="362" customWidth="1"/>
    <col min="10761" max="10761" width="13.7109375" style="362" customWidth="1"/>
    <col min="10762" max="10763" width="10.42578125" style="362" customWidth="1"/>
    <col min="10764" max="10764" width="10.28515625" style="362" customWidth="1"/>
    <col min="10765" max="10765" width="9.42578125" style="362" customWidth="1"/>
    <col min="10766" max="10766" width="8.7109375" style="362" customWidth="1"/>
    <col min="10767" max="10767" width="10.42578125" style="362" customWidth="1"/>
    <col min="10768" max="10768" width="10.28515625" style="362" customWidth="1"/>
    <col min="10769" max="11008" width="11.42578125" style="362"/>
    <col min="11009" max="11009" width="7" style="362" customWidth="1"/>
    <col min="11010" max="11010" width="10.7109375" style="362" customWidth="1"/>
    <col min="11011" max="11011" width="10.5703125" style="362" customWidth="1"/>
    <col min="11012" max="11012" width="10.7109375" style="362" customWidth="1"/>
    <col min="11013" max="11013" width="10.28515625" style="362" customWidth="1"/>
    <col min="11014" max="11014" width="10.7109375" style="362" customWidth="1"/>
    <col min="11015" max="11015" width="9.42578125" style="362" customWidth="1"/>
    <col min="11016" max="11016" width="10.5703125" style="362" customWidth="1"/>
    <col min="11017" max="11017" width="13.7109375" style="362" customWidth="1"/>
    <col min="11018" max="11019" width="10.42578125" style="362" customWidth="1"/>
    <col min="11020" max="11020" width="10.28515625" style="362" customWidth="1"/>
    <col min="11021" max="11021" width="9.42578125" style="362" customWidth="1"/>
    <col min="11022" max="11022" width="8.7109375" style="362" customWidth="1"/>
    <col min="11023" max="11023" width="10.42578125" style="362" customWidth="1"/>
    <col min="11024" max="11024" width="10.28515625" style="362" customWidth="1"/>
    <col min="11025" max="11264" width="11.42578125" style="362"/>
    <col min="11265" max="11265" width="7" style="362" customWidth="1"/>
    <col min="11266" max="11266" width="10.7109375" style="362" customWidth="1"/>
    <col min="11267" max="11267" width="10.5703125" style="362" customWidth="1"/>
    <col min="11268" max="11268" width="10.7109375" style="362" customWidth="1"/>
    <col min="11269" max="11269" width="10.28515625" style="362" customWidth="1"/>
    <col min="11270" max="11270" width="10.7109375" style="362" customWidth="1"/>
    <col min="11271" max="11271" width="9.42578125" style="362" customWidth="1"/>
    <col min="11272" max="11272" width="10.5703125" style="362" customWidth="1"/>
    <col min="11273" max="11273" width="13.7109375" style="362" customWidth="1"/>
    <col min="11274" max="11275" width="10.42578125" style="362" customWidth="1"/>
    <col min="11276" max="11276" width="10.28515625" style="362" customWidth="1"/>
    <col min="11277" max="11277" width="9.42578125" style="362" customWidth="1"/>
    <col min="11278" max="11278" width="8.7109375" style="362" customWidth="1"/>
    <col min="11279" max="11279" width="10.42578125" style="362" customWidth="1"/>
    <col min="11280" max="11280" width="10.28515625" style="362" customWidth="1"/>
    <col min="11281" max="11520" width="11.42578125" style="362"/>
    <col min="11521" max="11521" width="7" style="362" customWidth="1"/>
    <col min="11522" max="11522" width="10.7109375" style="362" customWidth="1"/>
    <col min="11523" max="11523" width="10.5703125" style="362" customWidth="1"/>
    <col min="11524" max="11524" width="10.7109375" style="362" customWidth="1"/>
    <col min="11525" max="11525" width="10.28515625" style="362" customWidth="1"/>
    <col min="11526" max="11526" width="10.7109375" style="362" customWidth="1"/>
    <col min="11527" max="11527" width="9.42578125" style="362" customWidth="1"/>
    <col min="11528" max="11528" width="10.5703125" style="362" customWidth="1"/>
    <col min="11529" max="11529" width="13.7109375" style="362" customWidth="1"/>
    <col min="11530" max="11531" width="10.42578125" style="362" customWidth="1"/>
    <col min="11532" max="11532" width="10.28515625" style="362" customWidth="1"/>
    <col min="11533" max="11533" width="9.42578125" style="362" customWidth="1"/>
    <col min="11534" max="11534" width="8.7109375" style="362" customWidth="1"/>
    <col min="11535" max="11535" width="10.42578125" style="362" customWidth="1"/>
    <col min="11536" max="11536" width="10.28515625" style="362" customWidth="1"/>
    <col min="11537" max="11776" width="11.42578125" style="362"/>
    <col min="11777" max="11777" width="7" style="362" customWidth="1"/>
    <col min="11778" max="11778" width="10.7109375" style="362" customWidth="1"/>
    <col min="11779" max="11779" width="10.5703125" style="362" customWidth="1"/>
    <col min="11780" max="11780" width="10.7109375" style="362" customWidth="1"/>
    <col min="11781" max="11781" width="10.28515625" style="362" customWidth="1"/>
    <col min="11782" max="11782" width="10.7109375" style="362" customWidth="1"/>
    <col min="11783" max="11783" width="9.42578125" style="362" customWidth="1"/>
    <col min="11784" max="11784" width="10.5703125" style="362" customWidth="1"/>
    <col min="11785" max="11785" width="13.7109375" style="362" customWidth="1"/>
    <col min="11786" max="11787" width="10.42578125" style="362" customWidth="1"/>
    <col min="11788" max="11788" width="10.28515625" style="362" customWidth="1"/>
    <col min="11789" max="11789" width="9.42578125" style="362" customWidth="1"/>
    <col min="11790" max="11790" width="8.7109375" style="362" customWidth="1"/>
    <col min="11791" max="11791" width="10.42578125" style="362" customWidth="1"/>
    <col min="11792" max="11792" width="10.28515625" style="362" customWidth="1"/>
    <col min="11793" max="12032" width="11.42578125" style="362"/>
    <col min="12033" max="12033" width="7" style="362" customWidth="1"/>
    <col min="12034" max="12034" width="10.7109375" style="362" customWidth="1"/>
    <col min="12035" max="12035" width="10.5703125" style="362" customWidth="1"/>
    <col min="12036" max="12036" width="10.7109375" style="362" customWidth="1"/>
    <col min="12037" max="12037" width="10.28515625" style="362" customWidth="1"/>
    <col min="12038" max="12038" width="10.7109375" style="362" customWidth="1"/>
    <col min="12039" max="12039" width="9.42578125" style="362" customWidth="1"/>
    <col min="12040" max="12040" width="10.5703125" style="362" customWidth="1"/>
    <col min="12041" max="12041" width="13.7109375" style="362" customWidth="1"/>
    <col min="12042" max="12043" width="10.42578125" style="362" customWidth="1"/>
    <col min="12044" max="12044" width="10.28515625" style="362" customWidth="1"/>
    <col min="12045" max="12045" width="9.42578125" style="362" customWidth="1"/>
    <col min="12046" max="12046" width="8.7109375" style="362" customWidth="1"/>
    <col min="12047" max="12047" width="10.42578125" style="362" customWidth="1"/>
    <col min="12048" max="12048" width="10.28515625" style="362" customWidth="1"/>
    <col min="12049" max="12288" width="11.42578125" style="362"/>
    <col min="12289" max="12289" width="7" style="362" customWidth="1"/>
    <col min="12290" max="12290" width="10.7109375" style="362" customWidth="1"/>
    <col min="12291" max="12291" width="10.5703125" style="362" customWidth="1"/>
    <col min="12292" max="12292" width="10.7109375" style="362" customWidth="1"/>
    <col min="12293" max="12293" width="10.28515625" style="362" customWidth="1"/>
    <col min="12294" max="12294" width="10.7109375" style="362" customWidth="1"/>
    <col min="12295" max="12295" width="9.42578125" style="362" customWidth="1"/>
    <col min="12296" max="12296" width="10.5703125" style="362" customWidth="1"/>
    <col min="12297" max="12297" width="13.7109375" style="362" customWidth="1"/>
    <col min="12298" max="12299" width="10.42578125" style="362" customWidth="1"/>
    <col min="12300" max="12300" width="10.28515625" style="362" customWidth="1"/>
    <col min="12301" max="12301" width="9.42578125" style="362" customWidth="1"/>
    <col min="12302" max="12302" width="8.7109375" style="362" customWidth="1"/>
    <col min="12303" max="12303" width="10.42578125" style="362" customWidth="1"/>
    <col min="12304" max="12304" width="10.28515625" style="362" customWidth="1"/>
    <col min="12305" max="12544" width="11.42578125" style="362"/>
    <col min="12545" max="12545" width="7" style="362" customWidth="1"/>
    <col min="12546" max="12546" width="10.7109375" style="362" customWidth="1"/>
    <col min="12547" max="12547" width="10.5703125" style="362" customWidth="1"/>
    <col min="12548" max="12548" width="10.7109375" style="362" customWidth="1"/>
    <col min="12549" max="12549" width="10.28515625" style="362" customWidth="1"/>
    <col min="12550" max="12550" width="10.7109375" style="362" customWidth="1"/>
    <col min="12551" max="12551" width="9.42578125" style="362" customWidth="1"/>
    <col min="12552" max="12552" width="10.5703125" style="362" customWidth="1"/>
    <col min="12553" max="12553" width="13.7109375" style="362" customWidth="1"/>
    <col min="12554" max="12555" width="10.42578125" style="362" customWidth="1"/>
    <col min="12556" max="12556" width="10.28515625" style="362" customWidth="1"/>
    <col min="12557" max="12557" width="9.42578125" style="362" customWidth="1"/>
    <col min="12558" max="12558" width="8.7109375" style="362" customWidth="1"/>
    <col min="12559" max="12559" width="10.42578125" style="362" customWidth="1"/>
    <col min="12560" max="12560" width="10.28515625" style="362" customWidth="1"/>
    <col min="12561" max="12800" width="11.42578125" style="362"/>
    <col min="12801" max="12801" width="7" style="362" customWidth="1"/>
    <col min="12802" max="12802" width="10.7109375" style="362" customWidth="1"/>
    <col min="12803" max="12803" width="10.5703125" style="362" customWidth="1"/>
    <col min="12804" max="12804" width="10.7109375" style="362" customWidth="1"/>
    <col min="12805" max="12805" width="10.28515625" style="362" customWidth="1"/>
    <col min="12806" max="12806" width="10.7109375" style="362" customWidth="1"/>
    <col min="12807" max="12807" width="9.42578125" style="362" customWidth="1"/>
    <col min="12808" max="12808" width="10.5703125" style="362" customWidth="1"/>
    <col min="12809" max="12809" width="13.7109375" style="362" customWidth="1"/>
    <col min="12810" max="12811" width="10.42578125" style="362" customWidth="1"/>
    <col min="12812" max="12812" width="10.28515625" style="362" customWidth="1"/>
    <col min="12813" max="12813" width="9.42578125" style="362" customWidth="1"/>
    <col min="12814" max="12814" width="8.7109375" style="362" customWidth="1"/>
    <col min="12815" max="12815" width="10.42578125" style="362" customWidth="1"/>
    <col min="12816" max="12816" width="10.28515625" style="362" customWidth="1"/>
    <col min="12817" max="13056" width="11.42578125" style="362"/>
    <col min="13057" max="13057" width="7" style="362" customWidth="1"/>
    <col min="13058" max="13058" width="10.7109375" style="362" customWidth="1"/>
    <col min="13059" max="13059" width="10.5703125" style="362" customWidth="1"/>
    <col min="13060" max="13060" width="10.7109375" style="362" customWidth="1"/>
    <col min="13061" max="13061" width="10.28515625" style="362" customWidth="1"/>
    <col min="13062" max="13062" width="10.7109375" style="362" customWidth="1"/>
    <col min="13063" max="13063" width="9.42578125" style="362" customWidth="1"/>
    <col min="13064" max="13064" width="10.5703125" style="362" customWidth="1"/>
    <col min="13065" max="13065" width="13.7109375" style="362" customWidth="1"/>
    <col min="13066" max="13067" width="10.42578125" style="362" customWidth="1"/>
    <col min="13068" max="13068" width="10.28515625" style="362" customWidth="1"/>
    <col min="13069" max="13069" width="9.42578125" style="362" customWidth="1"/>
    <col min="13070" max="13070" width="8.7109375" style="362" customWidth="1"/>
    <col min="13071" max="13071" width="10.42578125" style="362" customWidth="1"/>
    <col min="13072" max="13072" width="10.28515625" style="362" customWidth="1"/>
    <col min="13073" max="13312" width="11.42578125" style="362"/>
    <col min="13313" max="13313" width="7" style="362" customWidth="1"/>
    <col min="13314" max="13314" width="10.7109375" style="362" customWidth="1"/>
    <col min="13315" max="13315" width="10.5703125" style="362" customWidth="1"/>
    <col min="13316" max="13316" width="10.7109375" style="362" customWidth="1"/>
    <col min="13317" max="13317" width="10.28515625" style="362" customWidth="1"/>
    <col min="13318" max="13318" width="10.7109375" style="362" customWidth="1"/>
    <col min="13319" max="13319" width="9.42578125" style="362" customWidth="1"/>
    <col min="13320" max="13320" width="10.5703125" style="362" customWidth="1"/>
    <col min="13321" max="13321" width="13.7109375" style="362" customWidth="1"/>
    <col min="13322" max="13323" width="10.42578125" style="362" customWidth="1"/>
    <col min="13324" max="13324" width="10.28515625" style="362" customWidth="1"/>
    <col min="13325" max="13325" width="9.42578125" style="362" customWidth="1"/>
    <col min="13326" max="13326" width="8.7109375" style="362" customWidth="1"/>
    <col min="13327" max="13327" width="10.42578125" style="362" customWidth="1"/>
    <col min="13328" max="13328" width="10.28515625" style="362" customWidth="1"/>
    <col min="13329" max="13568" width="11.42578125" style="362"/>
    <col min="13569" max="13569" width="7" style="362" customWidth="1"/>
    <col min="13570" max="13570" width="10.7109375" style="362" customWidth="1"/>
    <col min="13571" max="13571" width="10.5703125" style="362" customWidth="1"/>
    <col min="13572" max="13572" width="10.7109375" style="362" customWidth="1"/>
    <col min="13573" max="13573" width="10.28515625" style="362" customWidth="1"/>
    <col min="13574" max="13574" width="10.7109375" style="362" customWidth="1"/>
    <col min="13575" max="13575" width="9.42578125" style="362" customWidth="1"/>
    <col min="13576" max="13576" width="10.5703125" style="362" customWidth="1"/>
    <col min="13577" max="13577" width="13.7109375" style="362" customWidth="1"/>
    <col min="13578" max="13579" width="10.42578125" style="362" customWidth="1"/>
    <col min="13580" max="13580" width="10.28515625" style="362" customWidth="1"/>
    <col min="13581" max="13581" width="9.42578125" style="362" customWidth="1"/>
    <col min="13582" max="13582" width="8.7109375" style="362" customWidth="1"/>
    <col min="13583" max="13583" width="10.42578125" style="362" customWidth="1"/>
    <col min="13584" max="13584" width="10.28515625" style="362" customWidth="1"/>
    <col min="13585" max="13824" width="11.42578125" style="362"/>
    <col min="13825" max="13825" width="7" style="362" customWidth="1"/>
    <col min="13826" max="13826" width="10.7109375" style="362" customWidth="1"/>
    <col min="13827" max="13827" width="10.5703125" style="362" customWidth="1"/>
    <col min="13828" max="13828" width="10.7109375" style="362" customWidth="1"/>
    <col min="13829" max="13829" width="10.28515625" style="362" customWidth="1"/>
    <col min="13830" max="13830" width="10.7109375" style="362" customWidth="1"/>
    <col min="13831" max="13831" width="9.42578125" style="362" customWidth="1"/>
    <col min="13832" max="13832" width="10.5703125" style="362" customWidth="1"/>
    <col min="13833" max="13833" width="13.7109375" style="362" customWidth="1"/>
    <col min="13834" max="13835" width="10.42578125" style="362" customWidth="1"/>
    <col min="13836" max="13836" width="10.28515625" style="362" customWidth="1"/>
    <col min="13837" max="13837" width="9.42578125" style="362" customWidth="1"/>
    <col min="13838" max="13838" width="8.7109375" style="362" customWidth="1"/>
    <col min="13839" max="13839" width="10.42578125" style="362" customWidth="1"/>
    <col min="13840" max="13840" width="10.28515625" style="362" customWidth="1"/>
    <col min="13841" max="14080" width="11.42578125" style="362"/>
    <col min="14081" max="14081" width="7" style="362" customWidth="1"/>
    <col min="14082" max="14082" width="10.7109375" style="362" customWidth="1"/>
    <col min="14083" max="14083" width="10.5703125" style="362" customWidth="1"/>
    <col min="14084" max="14084" width="10.7109375" style="362" customWidth="1"/>
    <col min="14085" max="14085" width="10.28515625" style="362" customWidth="1"/>
    <col min="14086" max="14086" width="10.7109375" style="362" customWidth="1"/>
    <col min="14087" max="14087" width="9.42578125" style="362" customWidth="1"/>
    <col min="14088" max="14088" width="10.5703125" style="362" customWidth="1"/>
    <col min="14089" max="14089" width="13.7109375" style="362" customWidth="1"/>
    <col min="14090" max="14091" width="10.42578125" style="362" customWidth="1"/>
    <col min="14092" max="14092" width="10.28515625" style="362" customWidth="1"/>
    <col min="14093" max="14093" width="9.42578125" style="362" customWidth="1"/>
    <col min="14094" max="14094" width="8.7109375" style="362" customWidth="1"/>
    <col min="14095" max="14095" width="10.42578125" style="362" customWidth="1"/>
    <col min="14096" max="14096" width="10.28515625" style="362" customWidth="1"/>
    <col min="14097" max="14336" width="11.42578125" style="362"/>
    <col min="14337" max="14337" width="7" style="362" customWidth="1"/>
    <col min="14338" max="14338" width="10.7109375" style="362" customWidth="1"/>
    <col min="14339" max="14339" width="10.5703125" style="362" customWidth="1"/>
    <col min="14340" max="14340" width="10.7109375" style="362" customWidth="1"/>
    <col min="14341" max="14341" width="10.28515625" style="362" customWidth="1"/>
    <col min="14342" max="14342" width="10.7109375" style="362" customWidth="1"/>
    <col min="14343" max="14343" width="9.42578125" style="362" customWidth="1"/>
    <col min="14344" max="14344" width="10.5703125" style="362" customWidth="1"/>
    <col min="14345" max="14345" width="13.7109375" style="362" customWidth="1"/>
    <col min="14346" max="14347" width="10.42578125" style="362" customWidth="1"/>
    <col min="14348" max="14348" width="10.28515625" style="362" customWidth="1"/>
    <col min="14349" max="14349" width="9.42578125" style="362" customWidth="1"/>
    <col min="14350" max="14350" width="8.7109375" style="362" customWidth="1"/>
    <col min="14351" max="14351" width="10.42578125" style="362" customWidth="1"/>
    <col min="14352" max="14352" width="10.28515625" style="362" customWidth="1"/>
    <col min="14353" max="14592" width="11.42578125" style="362"/>
    <col min="14593" max="14593" width="7" style="362" customWidth="1"/>
    <col min="14594" max="14594" width="10.7109375" style="362" customWidth="1"/>
    <col min="14595" max="14595" width="10.5703125" style="362" customWidth="1"/>
    <col min="14596" max="14596" width="10.7109375" style="362" customWidth="1"/>
    <col min="14597" max="14597" width="10.28515625" style="362" customWidth="1"/>
    <col min="14598" max="14598" width="10.7109375" style="362" customWidth="1"/>
    <col min="14599" max="14599" width="9.42578125" style="362" customWidth="1"/>
    <col min="14600" max="14600" width="10.5703125" style="362" customWidth="1"/>
    <col min="14601" max="14601" width="13.7109375" style="362" customWidth="1"/>
    <col min="14602" max="14603" width="10.42578125" style="362" customWidth="1"/>
    <col min="14604" max="14604" width="10.28515625" style="362" customWidth="1"/>
    <col min="14605" max="14605" width="9.42578125" style="362" customWidth="1"/>
    <col min="14606" max="14606" width="8.7109375" style="362" customWidth="1"/>
    <col min="14607" max="14607" width="10.42578125" style="362" customWidth="1"/>
    <col min="14608" max="14608" width="10.28515625" style="362" customWidth="1"/>
    <col min="14609" max="14848" width="11.42578125" style="362"/>
    <col min="14849" max="14849" width="7" style="362" customWidth="1"/>
    <col min="14850" max="14850" width="10.7109375" style="362" customWidth="1"/>
    <col min="14851" max="14851" width="10.5703125" style="362" customWidth="1"/>
    <col min="14852" max="14852" width="10.7109375" style="362" customWidth="1"/>
    <col min="14853" max="14853" width="10.28515625" style="362" customWidth="1"/>
    <col min="14854" max="14854" width="10.7109375" style="362" customWidth="1"/>
    <col min="14855" max="14855" width="9.42578125" style="362" customWidth="1"/>
    <col min="14856" max="14856" width="10.5703125" style="362" customWidth="1"/>
    <col min="14857" max="14857" width="13.7109375" style="362" customWidth="1"/>
    <col min="14858" max="14859" width="10.42578125" style="362" customWidth="1"/>
    <col min="14860" max="14860" width="10.28515625" style="362" customWidth="1"/>
    <col min="14861" max="14861" width="9.42578125" style="362" customWidth="1"/>
    <col min="14862" max="14862" width="8.7109375" style="362" customWidth="1"/>
    <col min="14863" max="14863" width="10.42578125" style="362" customWidth="1"/>
    <col min="14864" max="14864" width="10.28515625" style="362" customWidth="1"/>
    <col min="14865" max="15104" width="11.42578125" style="362"/>
    <col min="15105" max="15105" width="7" style="362" customWidth="1"/>
    <col min="15106" max="15106" width="10.7109375" style="362" customWidth="1"/>
    <col min="15107" max="15107" width="10.5703125" style="362" customWidth="1"/>
    <col min="15108" max="15108" width="10.7109375" style="362" customWidth="1"/>
    <col min="15109" max="15109" width="10.28515625" style="362" customWidth="1"/>
    <col min="15110" max="15110" width="10.7109375" style="362" customWidth="1"/>
    <col min="15111" max="15111" width="9.42578125" style="362" customWidth="1"/>
    <col min="15112" max="15112" width="10.5703125" style="362" customWidth="1"/>
    <col min="15113" max="15113" width="13.7109375" style="362" customWidth="1"/>
    <col min="15114" max="15115" width="10.42578125" style="362" customWidth="1"/>
    <col min="15116" max="15116" width="10.28515625" style="362" customWidth="1"/>
    <col min="15117" max="15117" width="9.42578125" style="362" customWidth="1"/>
    <col min="15118" max="15118" width="8.7109375" style="362" customWidth="1"/>
    <col min="15119" max="15119" width="10.42578125" style="362" customWidth="1"/>
    <col min="15120" max="15120" width="10.28515625" style="362" customWidth="1"/>
    <col min="15121" max="15360" width="11.42578125" style="362"/>
    <col min="15361" max="15361" width="7" style="362" customWidth="1"/>
    <col min="15362" max="15362" width="10.7109375" style="362" customWidth="1"/>
    <col min="15363" max="15363" width="10.5703125" style="362" customWidth="1"/>
    <col min="15364" max="15364" width="10.7109375" style="362" customWidth="1"/>
    <col min="15365" max="15365" width="10.28515625" style="362" customWidth="1"/>
    <col min="15366" max="15366" width="10.7109375" style="362" customWidth="1"/>
    <col min="15367" max="15367" width="9.42578125" style="362" customWidth="1"/>
    <col min="15368" max="15368" width="10.5703125" style="362" customWidth="1"/>
    <col min="15369" max="15369" width="13.7109375" style="362" customWidth="1"/>
    <col min="15370" max="15371" width="10.42578125" style="362" customWidth="1"/>
    <col min="15372" max="15372" width="10.28515625" style="362" customWidth="1"/>
    <col min="15373" max="15373" width="9.42578125" style="362" customWidth="1"/>
    <col min="15374" max="15374" width="8.7109375" style="362" customWidth="1"/>
    <col min="15375" max="15375" width="10.42578125" style="362" customWidth="1"/>
    <col min="15376" max="15376" width="10.28515625" style="362" customWidth="1"/>
    <col min="15377" max="15616" width="11.42578125" style="362"/>
    <col min="15617" max="15617" width="7" style="362" customWidth="1"/>
    <col min="15618" max="15618" width="10.7109375" style="362" customWidth="1"/>
    <col min="15619" max="15619" width="10.5703125" style="362" customWidth="1"/>
    <col min="15620" max="15620" width="10.7109375" style="362" customWidth="1"/>
    <col min="15621" max="15621" width="10.28515625" style="362" customWidth="1"/>
    <col min="15622" max="15622" width="10.7109375" style="362" customWidth="1"/>
    <col min="15623" max="15623" width="9.42578125" style="362" customWidth="1"/>
    <col min="15624" max="15624" width="10.5703125" style="362" customWidth="1"/>
    <col min="15625" max="15625" width="13.7109375" style="362" customWidth="1"/>
    <col min="15626" max="15627" width="10.42578125" style="362" customWidth="1"/>
    <col min="15628" max="15628" width="10.28515625" style="362" customWidth="1"/>
    <col min="15629" max="15629" width="9.42578125" style="362" customWidth="1"/>
    <col min="15630" max="15630" width="8.7109375" style="362" customWidth="1"/>
    <col min="15631" max="15631" width="10.42578125" style="362" customWidth="1"/>
    <col min="15632" max="15632" width="10.28515625" style="362" customWidth="1"/>
    <col min="15633" max="15872" width="11.42578125" style="362"/>
    <col min="15873" max="15873" width="7" style="362" customWidth="1"/>
    <col min="15874" max="15874" width="10.7109375" style="362" customWidth="1"/>
    <col min="15875" max="15875" width="10.5703125" style="362" customWidth="1"/>
    <col min="15876" max="15876" width="10.7109375" style="362" customWidth="1"/>
    <col min="15877" max="15877" width="10.28515625" style="362" customWidth="1"/>
    <col min="15878" max="15878" width="10.7109375" style="362" customWidth="1"/>
    <col min="15879" max="15879" width="9.42578125" style="362" customWidth="1"/>
    <col min="15880" max="15880" width="10.5703125" style="362" customWidth="1"/>
    <col min="15881" max="15881" width="13.7109375" style="362" customWidth="1"/>
    <col min="15882" max="15883" width="10.42578125" style="362" customWidth="1"/>
    <col min="15884" max="15884" width="10.28515625" style="362" customWidth="1"/>
    <col min="15885" max="15885" width="9.42578125" style="362" customWidth="1"/>
    <col min="15886" max="15886" width="8.7109375" style="362" customWidth="1"/>
    <col min="15887" max="15887" width="10.42578125" style="362" customWidth="1"/>
    <col min="15888" max="15888" width="10.28515625" style="362" customWidth="1"/>
    <col min="15889" max="16128" width="11.42578125" style="362"/>
    <col min="16129" max="16129" width="7" style="362" customWidth="1"/>
    <col min="16130" max="16130" width="10.7109375" style="362" customWidth="1"/>
    <col min="16131" max="16131" width="10.5703125" style="362" customWidth="1"/>
    <col min="16132" max="16132" width="10.7109375" style="362" customWidth="1"/>
    <col min="16133" max="16133" width="10.28515625" style="362" customWidth="1"/>
    <col min="16134" max="16134" width="10.7109375" style="362" customWidth="1"/>
    <col min="16135" max="16135" width="9.42578125" style="362" customWidth="1"/>
    <col min="16136" max="16136" width="10.5703125" style="362" customWidth="1"/>
    <col min="16137" max="16137" width="13.7109375" style="362" customWidth="1"/>
    <col min="16138" max="16139" width="10.42578125" style="362" customWidth="1"/>
    <col min="16140" max="16140" width="10.28515625" style="362" customWidth="1"/>
    <col min="16141" max="16141" width="9.42578125" style="362" customWidth="1"/>
    <col min="16142" max="16142" width="8.7109375" style="362" customWidth="1"/>
    <col min="16143" max="16143" width="10.42578125" style="362" customWidth="1"/>
    <col min="16144" max="16144" width="10.28515625" style="362" customWidth="1"/>
    <col min="16145" max="16384" width="11.42578125" style="362"/>
  </cols>
  <sheetData>
    <row r="1" spans="1:21" ht="15" customHeight="1">
      <c r="A1" s="716" t="s">
        <v>1706</v>
      </c>
      <c r="B1" s="716"/>
      <c r="C1" s="716"/>
      <c r="D1" s="716"/>
      <c r="E1" s="716"/>
      <c r="F1" s="716"/>
      <c r="G1" s="716"/>
      <c r="H1" s="716"/>
      <c r="I1" s="716"/>
      <c r="J1" s="716"/>
      <c r="K1" s="716"/>
      <c r="L1" s="716"/>
      <c r="M1" s="716"/>
      <c r="N1" s="716"/>
      <c r="O1" s="716"/>
      <c r="P1" s="716"/>
    </row>
    <row r="2" spans="1:21" ht="15" customHeight="1">
      <c r="A2" s="716" t="s">
        <v>1707</v>
      </c>
      <c r="B2" s="716"/>
      <c r="C2" s="716"/>
      <c r="D2" s="716"/>
      <c r="E2" s="716"/>
      <c r="F2" s="716" t="s">
        <v>1708</v>
      </c>
      <c r="G2" s="716"/>
      <c r="H2" s="716"/>
      <c r="I2" s="716"/>
      <c r="J2" s="716"/>
      <c r="K2" s="716"/>
      <c r="L2" s="716"/>
      <c r="M2" s="716"/>
      <c r="N2" s="716"/>
      <c r="O2" s="716"/>
      <c r="P2" s="716"/>
    </row>
    <row r="3" spans="1:21" ht="15" customHeight="1">
      <c r="E3" s="363"/>
    </row>
    <row r="4" spans="1:21" ht="15" customHeight="1">
      <c r="A4" s="717" t="s">
        <v>1709</v>
      </c>
      <c r="B4" s="717"/>
      <c r="C4" s="717"/>
      <c r="D4" s="717"/>
      <c r="E4" s="717"/>
      <c r="F4" s="363"/>
      <c r="K4" s="363"/>
      <c r="N4" s="363" t="s">
        <v>1710</v>
      </c>
      <c r="O4" s="364">
        <f>IF(HorasAmortizaciónEquipoCamión=0,0,ROUND(Valor_CamiónSolo*PorcentajeEquipoAmortizarCamión/HorasAmortizaciónEquipoCamión,3))</f>
        <v>0</v>
      </c>
    </row>
    <row r="5" spans="1:21" ht="15" customHeight="1">
      <c r="F5" s="363"/>
      <c r="K5" s="363"/>
      <c r="O5" s="365"/>
    </row>
    <row r="6" spans="1:21" ht="15" customHeight="1">
      <c r="A6" s="429"/>
      <c r="B6" s="429"/>
      <c r="C6" s="429"/>
      <c r="D6" s="429"/>
      <c r="E6" s="429"/>
      <c r="F6" s="363"/>
      <c r="K6" s="363"/>
      <c r="O6" s="365"/>
    </row>
    <row r="7" spans="1:21" ht="15" customHeight="1">
      <c r="A7" s="722" t="s">
        <v>1711</v>
      </c>
      <c r="B7" s="723"/>
      <c r="C7" s="723"/>
      <c r="D7" s="724"/>
      <c r="E7" s="407"/>
      <c r="F7" s="363"/>
      <c r="G7" s="366"/>
      <c r="I7" s="718"/>
      <c r="J7" s="367"/>
      <c r="K7" s="368"/>
      <c r="N7" s="363" t="s">
        <v>1712</v>
      </c>
      <c r="O7" s="395">
        <f>ROUND(Valor_CamiónSolo*E10/4000,3)</f>
        <v>0</v>
      </c>
      <c r="Q7" s="366"/>
      <c r="R7" s="369"/>
      <c r="S7" s="718"/>
      <c r="T7" s="370"/>
      <c r="U7" s="367"/>
    </row>
    <row r="8" spans="1:21" ht="15" customHeight="1">
      <c r="A8" s="722" t="s">
        <v>1713</v>
      </c>
      <c r="B8" s="723"/>
      <c r="C8" s="723"/>
      <c r="D8" s="724"/>
      <c r="E8" s="408"/>
      <c r="F8" s="363"/>
      <c r="G8" s="719"/>
      <c r="H8" s="719"/>
      <c r="I8" s="718"/>
      <c r="K8" s="363"/>
      <c r="O8" s="365"/>
      <c r="Q8" s="719"/>
      <c r="R8" s="719"/>
      <c r="S8" s="718"/>
    </row>
    <row r="9" spans="1:21" ht="15" customHeight="1">
      <c r="A9" s="722" t="s">
        <v>1714</v>
      </c>
      <c r="B9" s="723"/>
      <c r="C9" s="723"/>
      <c r="D9" s="724"/>
      <c r="E9" s="409"/>
      <c r="F9" s="363"/>
      <c r="K9" s="363"/>
      <c r="O9" s="365"/>
    </row>
    <row r="10" spans="1:21" ht="15" customHeight="1">
      <c r="A10" s="722" t="s">
        <v>1715</v>
      </c>
      <c r="B10" s="723"/>
      <c r="C10" s="723"/>
      <c r="D10" s="724"/>
      <c r="E10" s="409"/>
      <c r="F10" s="363"/>
      <c r="K10" s="363"/>
      <c r="N10" s="363" t="s">
        <v>1716</v>
      </c>
      <c r="O10" s="364">
        <f>ROUND(O4*Porcentaje_Reparaciones_Repuestos,3)</f>
        <v>0</v>
      </c>
    </row>
    <row r="11" spans="1:21" ht="15" customHeight="1">
      <c r="A11" s="722" t="s">
        <v>1717</v>
      </c>
      <c r="B11" s="723"/>
      <c r="C11" s="723"/>
      <c r="D11" s="724"/>
      <c r="E11" s="409"/>
      <c r="F11" s="363"/>
      <c r="K11" s="363"/>
      <c r="O11" s="365"/>
    </row>
    <row r="12" spans="1:21" ht="15" customHeight="1">
      <c r="A12" s="722" t="s">
        <v>1718</v>
      </c>
      <c r="B12" s="723"/>
      <c r="C12" s="723"/>
      <c r="D12" s="724"/>
      <c r="E12" s="409"/>
      <c r="F12" s="363"/>
      <c r="K12" s="363"/>
      <c r="O12" s="365"/>
    </row>
    <row r="13" spans="1:21" ht="15" customHeight="1">
      <c r="A13" s="722" t="s">
        <v>1719</v>
      </c>
      <c r="B13" s="723"/>
      <c r="C13" s="723"/>
      <c r="D13" s="724"/>
      <c r="E13" s="408"/>
      <c r="F13" s="363"/>
      <c r="K13" s="363"/>
      <c r="N13" s="363" t="s">
        <v>1720</v>
      </c>
      <c r="O13" s="364">
        <f>ROUND(Tiempo_lavado_en_horas*Mano_Obra_Lavado*Cantidad_lavado_al_mes*12/2000,3)</f>
        <v>0</v>
      </c>
    </row>
    <row r="14" spans="1:21" ht="15" customHeight="1">
      <c r="A14" s="722" t="s">
        <v>1721</v>
      </c>
      <c r="B14" s="723"/>
      <c r="C14" s="723"/>
      <c r="D14" s="724"/>
      <c r="E14" s="410"/>
      <c r="F14" s="363"/>
      <c r="K14" s="363"/>
      <c r="O14" s="365"/>
    </row>
    <row r="15" spans="1:21" ht="15" customHeight="1">
      <c r="A15" s="722" t="s">
        <v>1722</v>
      </c>
      <c r="B15" s="723"/>
      <c r="C15" s="723"/>
      <c r="D15" s="724"/>
      <c r="E15" s="411"/>
      <c r="F15" s="363"/>
      <c r="G15" s="366"/>
      <c r="I15" s="718"/>
      <c r="J15" s="367"/>
      <c r="K15" s="368"/>
      <c r="O15" s="365"/>
      <c r="Q15" s="371"/>
      <c r="R15" s="372"/>
      <c r="S15" s="718"/>
      <c r="T15" s="370"/>
      <c r="U15" s="373"/>
    </row>
    <row r="16" spans="1:21" ht="15" customHeight="1">
      <c r="A16" s="722" t="s">
        <v>1723</v>
      </c>
      <c r="B16" s="723"/>
      <c r="C16" s="723"/>
      <c r="D16" s="724"/>
      <c r="E16" s="412"/>
      <c r="F16" s="363"/>
      <c r="G16" s="719"/>
      <c r="H16" s="719"/>
      <c r="I16" s="718"/>
      <c r="K16" s="363"/>
      <c r="N16" s="363" t="s">
        <v>1724</v>
      </c>
      <c r="O16" s="364">
        <f>ROUND(Valor_CamiónSolo*PorSegurosPatentesImpustoCamión/2000,3)</f>
        <v>0</v>
      </c>
      <c r="Q16" s="720"/>
      <c r="R16" s="720"/>
      <c r="S16" s="718"/>
    </row>
    <row r="17" spans="1:21" ht="15" customHeight="1">
      <c r="A17" s="722" t="s">
        <v>1725</v>
      </c>
      <c r="B17" s="723"/>
      <c r="C17" s="723"/>
      <c r="D17" s="724"/>
      <c r="E17" s="413"/>
      <c r="F17" s="363"/>
      <c r="K17" s="363"/>
      <c r="O17" s="365"/>
    </row>
    <row r="18" spans="1:21" ht="15" customHeight="1">
      <c r="A18" s="722" t="s">
        <v>1726</v>
      </c>
      <c r="B18" s="723"/>
      <c r="C18" s="723"/>
      <c r="D18" s="724"/>
      <c r="E18" s="414"/>
      <c r="F18" s="363"/>
      <c r="K18" s="363"/>
      <c r="O18" s="365"/>
    </row>
    <row r="19" spans="1:21" ht="15" customHeight="1">
      <c r="A19" s="722" t="s">
        <v>1727</v>
      </c>
      <c r="B19" s="723"/>
      <c r="C19" s="723"/>
      <c r="D19" s="724"/>
      <c r="E19" s="415"/>
      <c r="F19" s="363"/>
      <c r="G19" s="366"/>
      <c r="J19" s="367"/>
      <c r="K19" s="368"/>
      <c r="N19" s="363" t="s">
        <v>1728</v>
      </c>
      <c r="O19" s="364">
        <f>IF(V_Ul_cámara_cubiertas_CamiónSolo=0,0,ROUND(Cantidad_camaras_cubiertas*Valor_cámara_cubiertas_CamiónSolo/V_Ul_cámara_cubiertas_CamiónSolo,3))</f>
        <v>0</v>
      </c>
      <c r="Q19" s="374"/>
      <c r="R19" s="375"/>
      <c r="S19" s="376"/>
      <c r="T19" s="370"/>
      <c r="U19" s="377"/>
    </row>
    <row r="20" spans="1:21" ht="15" customHeight="1">
      <c r="A20" s="722" t="s">
        <v>1729</v>
      </c>
      <c r="B20" s="723"/>
      <c r="C20" s="723"/>
      <c r="D20" s="724"/>
      <c r="E20" s="409"/>
      <c r="F20" s="363"/>
      <c r="G20" s="719"/>
      <c r="H20" s="719"/>
      <c r="K20" s="363"/>
      <c r="O20" s="365"/>
    </row>
    <row r="21" spans="1:21" ht="15" customHeight="1">
      <c r="A21" s="722" t="s">
        <v>1780</v>
      </c>
      <c r="B21" s="723"/>
      <c r="C21" s="723"/>
      <c r="D21" s="724" t="s">
        <v>1730</v>
      </c>
      <c r="E21" s="416"/>
      <c r="G21" s="730"/>
      <c r="H21" s="730"/>
      <c r="I21" s="730"/>
      <c r="K21" s="363"/>
      <c r="O21" s="365"/>
    </row>
    <row r="22" spans="1:21" ht="15" customHeight="1">
      <c r="A22" s="722" t="s">
        <v>1781</v>
      </c>
      <c r="B22" s="723"/>
      <c r="C22" s="723"/>
      <c r="D22" s="724" t="s">
        <v>1731</v>
      </c>
      <c r="E22" s="417"/>
      <c r="K22" s="363"/>
      <c r="N22" s="363" t="s">
        <v>1732</v>
      </c>
      <c r="O22" s="364">
        <f>ROUND(Consumo_gasoil_CamiónSolo_porkm*Costo_gasoil*(1+Porcentaje_Lubricantes),3)</f>
        <v>0</v>
      </c>
    </row>
    <row r="23" spans="1:21" ht="15" customHeight="1">
      <c r="A23" s="430"/>
      <c r="B23" s="430"/>
      <c r="C23" s="430"/>
      <c r="D23" s="430"/>
      <c r="E23" s="430"/>
      <c r="G23" s="378"/>
      <c r="H23" s="379"/>
      <c r="I23" s="380"/>
      <c r="J23" s="381"/>
      <c r="K23" s="368"/>
    </row>
    <row r="25" spans="1:21" ht="15" customHeight="1">
      <c r="A25" s="726" t="s">
        <v>1733</v>
      </c>
      <c r="B25" s="726"/>
      <c r="C25" s="726"/>
      <c r="D25" s="726"/>
      <c r="E25" s="726"/>
      <c r="F25" s="726"/>
      <c r="G25" s="726"/>
      <c r="H25" s="727" t="s">
        <v>1734</v>
      </c>
      <c r="I25" s="727"/>
      <c r="J25" s="727"/>
      <c r="K25" s="727"/>
      <c r="L25" s="727"/>
      <c r="M25" s="727"/>
      <c r="N25" s="727"/>
      <c r="O25" s="727"/>
      <c r="P25" s="728" t="s">
        <v>1735</v>
      </c>
    </row>
    <row r="26" spans="1:21" ht="15" customHeight="1">
      <c r="A26" s="382" t="s">
        <v>1736</v>
      </c>
      <c r="B26" s="382" t="s">
        <v>1737</v>
      </c>
      <c r="C26" s="382" t="s">
        <v>1738</v>
      </c>
      <c r="D26" s="382" t="s">
        <v>1739</v>
      </c>
      <c r="E26" s="382" t="s">
        <v>1740</v>
      </c>
      <c r="F26" s="382" t="s">
        <v>1006</v>
      </c>
      <c r="G26" s="382" t="s">
        <v>1741</v>
      </c>
      <c r="H26" s="729" t="s">
        <v>1668</v>
      </c>
      <c r="I26" s="729" t="s">
        <v>1742</v>
      </c>
      <c r="J26" s="382" t="s">
        <v>1743</v>
      </c>
      <c r="K26" s="382" t="s">
        <v>1744</v>
      </c>
      <c r="L26" s="382" t="s">
        <v>1745</v>
      </c>
      <c r="M26" s="382" t="s">
        <v>1746</v>
      </c>
      <c r="N26" s="382" t="s">
        <v>1747</v>
      </c>
      <c r="O26" s="383" t="s">
        <v>1748</v>
      </c>
      <c r="P26" s="728"/>
    </row>
    <row r="27" spans="1:21" ht="15" customHeight="1">
      <c r="A27" s="382" t="s">
        <v>1749</v>
      </c>
      <c r="B27" s="382" t="s">
        <v>1750</v>
      </c>
      <c r="C27" s="382" t="s">
        <v>1751</v>
      </c>
      <c r="D27" s="382" t="s">
        <v>1752</v>
      </c>
      <c r="E27" s="382" t="s">
        <v>1753</v>
      </c>
      <c r="F27" s="382" t="s">
        <v>1754</v>
      </c>
      <c r="G27" s="382" t="s">
        <v>1755</v>
      </c>
      <c r="H27" s="729"/>
      <c r="I27" s="729"/>
      <c r="J27" s="382" t="s">
        <v>1756</v>
      </c>
      <c r="K27" s="382" t="s">
        <v>1757</v>
      </c>
      <c r="L27" s="382" t="s">
        <v>1758</v>
      </c>
      <c r="M27" s="382" t="s">
        <v>1759</v>
      </c>
      <c r="N27" s="382" t="s">
        <v>1760</v>
      </c>
      <c r="O27" s="383" t="s">
        <v>1761</v>
      </c>
      <c r="P27" s="728"/>
    </row>
    <row r="28" spans="1:21" ht="15" customHeight="1">
      <c r="A28" s="725" t="s">
        <v>1762</v>
      </c>
      <c r="B28" s="725" t="s">
        <v>1763</v>
      </c>
      <c r="C28" s="725" t="s">
        <v>1764</v>
      </c>
      <c r="D28" s="725" t="s">
        <v>1765</v>
      </c>
      <c r="E28" s="725" t="s">
        <v>1766</v>
      </c>
      <c r="F28" s="725" t="s">
        <v>1767</v>
      </c>
      <c r="G28" s="725" t="s">
        <v>1768</v>
      </c>
      <c r="H28" s="725" t="s">
        <v>1769</v>
      </c>
      <c r="I28" s="725" t="s">
        <v>1770</v>
      </c>
      <c r="J28" s="725" t="s">
        <v>1771</v>
      </c>
      <c r="K28" s="725" t="s">
        <v>1772</v>
      </c>
      <c r="L28" s="725" t="s">
        <v>1773</v>
      </c>
      <c r="M28" s="725" t="s">
        <v>1774</v>
      </c>
      <c r="N28" s="725" t="s">
        <v>1775</v>
      </c>
      <c r="O28" s="725" t="s">
        <v>1776</v>
      </c>
      <c r="P28" s="721" t="s">
        <v>1777</v>
      </c>
    </row>
    <row r="29" spans="1:21" ht="15" customHeight="1">
      <c r="A29" s="725"/>
      <c r="B29" s="725"/>
      <c r="C29" s="725"/>
      <c r="D29" s="725"/>
      <c r="E29" s="725"/>
      <c r="F29" s="725"/>
      <c r="G29" s="725"/>
      <c r="H29" s="725"/>
      <c r="I29" s="725"/>
      <c r="J29" s="725"/>
      <c r="K29" s="725"/>
      <c r="L29" s="725"/>
      <c r="M29" s="725"/>
      <c r="N29" s="725"/>
      <c r="O29" s="725"/>
      <c r="P29" s="721"/>
    </row>
    <row r="30" spans="1:21" ht="15" customHeight="1">
      <c r="A30" s="384">
        <v>1</v>
      </c>
      <c r="B30" s="385"/>
      <c r="C30" s="386">
        <f>IF(B30=0,0,(2*A30*60)/B30)</f>
        <v>0</v>
      </c>
      <c r="D30" s="387"/>
      <c r="E30" s="386">
        <f t="shared" ref="E30:E64" si="0">+C30+D30</f>
        <v>0</v>
      </c>
      <c r="F30" s="388"/>
      <c r="G30" s="389">
        <f t="shared" ref="G30:G64" si="1">+A30*2</f>
        <v>2</v>
      </c>
      <c r="H30" s="390">
        <f t="shared" ref="H30:H64" si="2">A*(E30/60)</f>
        <v>0</v>
      </c>
      <c r="I30" s="390">
        <f t="shared" ref="I30:I38" si="3">B*(E30/60)</f>
        <v>0</v>
      </c>
      <c r="J30" s="390">
        <f t="shared" ref="J30:J38" si="4">C_*(C30/60)</f>
        <v>0</v>
      </c>
      <c r="K30" s="390">
        <f t="shared" ref="K30:K38" si="5">D*(E30/60)</f>
        <v>0</v>
      </c>
      <c r="L30" s="390">
        <f t="shared" ref="L30:L38" si="6">E*(E30/60)</f>
        <v>0</v>
      </c>
      <c r="M30" s="390">
        <f t="shared" ref="M30:M38" si="7">+G30*F_</f>
        <v>0</v>
      </c>
      <c r="N30" s="390">
        <f t="shared" ref="N30:N38" si="8">Mano_Obra_Lavado*(E30/60)</f>
        <v>0</v>
      </c>
      <c r="O30" s="390">
        <f t="shared" ref="O30:O38" si="9">+G30*G</f>
        <v>0</v>
      </c>
      <c r="P30" s="391">
        <f>IF(F30=0,0,ROUND(SUM(H30:O30)/F30,3))</f>
        <v>0</v>
      </c>
      <c r="R30" s="392"/>
    </row>
    <row r="31" spans="1:21" ht="15" customHeight="1">
      <c r="A31" s="384">
        <v>1.5</v>
      </c>
      <c r="B31" s="385"/>
      <c r="C31" s="386">
        <f t="shared" ref="C31:C64" si="10">IF(B31=0,0,(2*A31*60)/B31)</f>
        <v>0</v>
      </c>
      <c r="D31" s="387"/>
      <c r="E31" s="386">
        <f t="shared" si="0"/>
        <v>0</v>
      </c>
      <c r="F31" s="388"/>
      <c r="G31" s="389">
        <f t="shared" si="1"/>
        <v>3</v>
      </c>
      <c r="H31" s="390">
        <f t="shared" si="2"/>
        <v>0</v>
      </c>
      <c r="I31" s="390">
        <f t="shared" si="3"/>
        <v>0</v>
      </c>
      <c r="J31" s="390">
        <f t="shared" si="4"/>
        <v>0</v>
      </c>
      <c r="K31" s="390">
        <f t="shared" si="5"/>
        <v>0</v>
      </c>
      <c r="L31" s="390">
        <f t="shared" si="6"/>
        <v>0</v>
      </c>
      <c r="M31" s="390">
        <f t="shared" si="7"/>
        <v>0</v>
      </c>
      <c r="N31" s="390">
        <f t="shared" si="8"/>
        <v>0</v>
      </c>
      <c r="O31" s="390">
        <f t="shared" si="9"/>
        <v>0</v>
      </c>
      <c r="P31" s="391">
        <f t="shared" ref="P31:P64" si="11">IF(F31=0,0,ROUND(SUM(H31:O31)/F31,3))</f>
        <v>0</v>
      </c>
      <c r="R31" s="392"/>
    </row>
    <row r="32" spans="1:21" ht="15" customHeight="1">
      <c r="A32" s="384">
        <v>2</v>
      </c>
      <c r="B32" s="385"/>
      <c r="C32" s="386">
        <f t="shared" si="10"/>
        <v>0</v>
      </c>
      <c r="D32" s="387"/>
      <c r="E32" s="386">
        <f t="shared" si="0"/>
        <v>0</v>
      </c>
      <c r="F32" s="388"/>
      <c r="G32" s="389">
        <f t="shared" si="1"/>
        <v>4</v>
      </c>
      <c r="H32" s="390">
        <f t="shared" si="2"/>
        <v>0</v>
      </c>
      <c r="I32" s="390">
        <f t="shared" si="3"/>
        <v>0</v>
      </c>
      <c r="J32" s="390">
        <f t="shared" si="4"/>
        <v>0</v>
      </c>
      <c r="K32" s="390">
        <f t="shared" si="5"/>
        <v>0</v>
      </c>
      <c r="L32" s="390">
        <f t="shared" si="6"/>
        <v>0</v>
      </c>
      <c r="M32" s="390">
        <f t="shared" si="7"/>
        <v>0</v>
      </c>
      <c r="N32" s="390">
        <f t="shared" si="8"/>
        <v>0</v>
      </c>
      <c r="O32" s="390">
        <f t="shared" si="9"/>
        <v>0</v>
      </c>
      <c r="P32" s="391">
        <f t="shared" si="11"/>
        <v>0</v>
      </c>
      <c r="R32" s="392"/>
    </row>
    <row r="33" spans="1:18" ht="15" customHeight="1">
      <c r="A33" s="384">
        <v>2.5</v>
      </c>
      <c r="B33" s="385"/>
      <c r="C33" s="386">
        <f t="shared" si="10"/>
        <v>0</v>
      </c>
      <c r="D33" s="387"/>
      <c r="E33" s="386">
        <f t="shared" si="0"/>
        <v>0</v>
      </c>
      <c r="F33" s="388"/>
      <c r="G33" s="389">
        <f t="shared" si="1"/>
        <v>5</v>
      </c>
      <c r="H33" s="390">
        <f t="shared" si="2"/>
        <v>0</v>
      </c>
      <c r="I33" s="390">
        <f t="shared" si="3"/>
        <v>0</v>
      </c>
      <c r="J33" s="390">
        <f t="shared" si="4"/>
        <v>0</v>
      </c>
      <c r="K33" s="390">
        <f t="shared" si="5"/>
        <v>0</v>
      </c>
      <c r="L33" s="390">
        <f t="shared" si="6"/>
        <v>0</v>
      </c>
      <c r="M33" s="390">
        <f t="shared" si="7"/>
        <v>0</v>
      </c>
      <c r="N33" s="390">
        <f t="shared" si="8"/>
        <v>0</v>
      </c>
      <c r="O33" s="390">
        <f t="shared" si="9"/>
        <v>0</v>
      </c>
      <c r="P33" s="391">
        <f t="shared" si="11"/>
        <v>0</v>
      </c>
      <c r="R33" s="392"/>
    </row>
    <row r="34" spans="1:18" ht="15" customHeight="1">
      <c r="A34" s="384">
        <v>3</v>
      </c>
      <c r="B34" s="385"/>
      <c r="C34" s="386">
        <f t="shared" si="10"/>
        <v>0</v>
      </c>
      <c r="D34" s="387"/>
      <c r="E34" s="386">
        <f t="shared" si="0"/>
        <v>0</v>
      </c>
      <c r="F34" s="388"/>
      <c r="G34" s="389">
        <f t="shared" si="1"/>
        <v>6</v>
      </c>
      <c r="H34" s="390">
        <f t="shared" si="2"/>
        <v>0</v>
      </c>
      <c r="I34" s="390">
        <f t="shared" si="3"/>
        <v>0</v>
      </c>
      <c r="J34" s="390">
        <f t="shared" si="4"/>
        <v>0</v>
      </c>
      <c r="K34" s="390">
        <f t="shared" si="5"/>
        <v>0</v>
      </c>
      <c r="L34" s="390">
        <f t="shared" si="6"/>
        <v>0</v>
      </c>
      <c r="M34" s="390">
        <f t="shared" si="7"/>
        <v>0</v>
      </c>
      <c r="N34" s="390">
        <f t="shared" si="8"/>
        <v>0</v>
      </c>
      <c r="O34" s="390">
        <f t="shared" si="9"/>
        <v>0</v>
      </c>
      <c r="P34" s="391">
        <f t="shared" si="11"/>
        <v>0</v>
      </c>
      <c r="R34" s="392"/>
    </row>
    <row r="35" spans="1:18" ht="15" customHeight="1">
      <c r="A35" s="384">
        <v>3.5</v>
      </c>
      <c r="B35" s="385"/>
      <c r="C35" s="386">
        <f t="shared" si="10"/>
        <v>0</v>
      </c>
      <c r="D35" s="387"/>
      <c r="E35" s="386">
        <f t="shared" si="0"/>
        <v>0</v>
      </c>
      <c r="F35" s="388"/>
      <c r="G35" s="389">
        <f t="shared" si="1"/>
        <v>7</v>
      </c>
      <c r="H35" s="390">
        <f t="shared" si="2"/>
        <v>0</v>
      </c>
      <c r="I35" s="390">
        <f t="shared" si="3"/>
        <v>0</v>
      </c>
      <c r="J35" s="390">
        <f t="shared" si="4"/>
        <v>0</v>
      </c>
      <c r="K35" s="390">
        <f t="shared" si="5"/>
        <v>0</v>
      </c>
      <c r="L35" s="390">
        <f t="shared" si="6"/>
        <v>0</v>
      </c>
      <c r="M35" s="390">
        <f t="shared" si="7"/>
        <v>0</v>
      </c>
      <c r="N35" s="390">
        <f t="shared" si="8"/>
        <v>0</v>
      </c>
      <c r="O35" s="390">
        <f t="shared" si="9"/>
        <v>0</v>
      </c>
      <c r="P35" s="391">
        <f t="shared" si="11"/>
        <v>0</v>
      </c>
      <c r="R35" s="392"/>
    </row>
    <row r="36" spans="1:18" ht="15" customHeight="1">
      <c r="A36" s="384">
        <v>4</v>
      </c>
      <c r="B36" s="385"/>
      <c r="C36" s="386">
        <f t="shared" si="10"/>
        <v>0</v>
      </c>
      <c r="D36" s="387"/>
      <c r="E36" s="386">
        <f t="shared" si="0"/>
        <v>0</v>
      </c>
      <c r="F36" s="388"/>
      <c r="G36" s="389">
        <f t="shared" si="1"/>
        <v>8</v>
      </c>
      <c r="H36" s="390">
        <f t="shared" si="2"/>
        <v>0</v>
      </c>
      <c r="I36" s="390">
        <f t="shared" si="3"/>
        <v>0</v>
      </c>
      <c r="J36" s="390">
        <f t="shared" si="4"/>
        <v>0</v>
      </c>
      <c r="K36" s="390">
        <f t="shared" si="5"/>
        <v>0</v>
      </c>
      <c r="L36" s="390">
        <f t="shared" si="6"/>
        <v>0</v>
      </c>
      <c r="M36" s="390">
        <f t="shared" si="7"/>
        <v>0</v>
      </c>
      <c r="N36" s="390">
        <f t="shared" si="8"/>
        <v>0</v>
      </c>
      <c r="O36" s="390">
        <f t="shared" si="9"/>
        <v>0</v>
      </c>
      <c r="P36" s="391">
        <f t="shared" si="11"/>
        <v>0</v>
      </c>
      <c r="R36" s="392"/>
    </row>
    <row r="37" spans="1:18" ht="15" customHeight="1">
      <c r="A37" s="384">
        <v>4.5</v>
      </c>
      <c r="B37" s="385"/>
      <c r="C37" s="386">
        <f t="shared" si="10"/>
        <v>0</v>
      </c>
      <c r="D37" s="387"/>
      <c r="E37" s="386">
        <f t="shared" si="0"/>
        <v>0</v>
      </c>
      <c r="F37" s="388"/>
      <c r="G37" s="389">
        <f t="shared" si="1"/>
        <v>9</v>
      </c>
      <c r="H37" s="390">
        <f t="shared" si="2"/>
        <v>0</v>
      </c>
      <c r="I37" s="390">
        <f t="shared" si="3"/>
        <v>0</v>
      </c>
      <c r="J37" s="390">
        <f t="shared" si="4"/>
        <v>0</v>
      </c>
      <c r="K37" s="390">
        <f t="shared" si="5"/>
        <v>0</v>
      </c>
      <c r="L37" s="390">
        <f t="shared" si="6"/>
        <v>0</v>
      </c>
      <c r="M37" s="390">
        <f t="shared" si="7"/>
        <v>0</v>
      </c>
      <c r="N37" s="390">
        <f t="shared" si="8"/>
        <v>0</v>
      </c>
      <c r="O37" s="390">
        <f t="shared" si="9"/>
        <v>0</v>
      </c>
      <c r="P37" s="391">
        <f t="shared" si="11"/>
        <v>0</v>
      </c>
      <c r="R37" s="392"/>
    </row>
    <row r="38" spans="1:18" ht="15" customHeight="1">
      <c r="A38" s="384">
        <v>5</v>
      </c>
      <c r="B38" s="385"/>
      <c r="C38" s="386">
        <f t="shared" si="10"/>
        <v>0</v>
      </c>
      <c r="D38" s="387"/>
      <c r="E38" s="386">
        <f t="shared" si="0"/>
        <v>0</v>
      </c>
      <c r="F38" s="388"/>
      <c r="G38" s="389">
        <f t="shared" si="1"/>
        <v>10</v>
      </c>
      <c r="H38" s="390">
        <f t="shared" si="2"/>
        <v>0</v>
      </c>
      <c r="I38" s="390">
        <f t="shared" si="3"/>
        <v>0</v>
      </c>
      <c r="J38" s="390">
        <f t="shared" si="4"/>
        <v>0</v>
      </c>
      <c r="K38" s="390">
        <f t="shared" si="5"/>
        <v>0</v>
      </c>
      <c r="L38" s="390">
        <f t="shared" si="6"/>
        <v>0</v>
      </c>
      <c r="M38" s="390">
        <f t="shared" si="7"/>
        <v>0</v>
      </c>
      <c r="N38" s="390">
        <f t="shared" si="8"/>
        <v>0</v>
      </c>
      <c r="O38" s="390">
        <f t="shared" si="9"/>
        <v>0</v>
      </c>
      <c r="P38" s="391">
        <f t="shared" si="11"/>
        <v>0</v>
      </c>
      <c r="R38" s="392"/>
    </row>
    <row r="39" spans="1:18" ht="15" customHeight="1">
      <c r="A39" s="384">
        <v>6</v>
      </c>
      <c r="B39" s="385"/>
      <c r="C39" s="386">
        <f t="shared" si="10"/>
        <v>0</v>
      </c>
      <c r="D39" s="387"/>
      <c r="E39" s="386">
        <f t="shared" si="0"/>
        <v>0</v>
      </c>
      <c r="F39" s="388"/>
      <c r="G39" s="389">
        <f t="shared" si="1"/>
        <v>12</v>
      </c>
      <c r="H39" s="390">
        <f t="shared" si="2"/>
        <v>0</v>
      </c>
      <c r="I39" s="390">
        <f t="shared" ref="I39:I64" si="12">B*(E39/60)</f>
        <v>0</v>
      </c>
      <c r="J39" s="390">
        <f t="shared" ref="J39:J64" si="13">C_*(C39/60)</f>
        <v>0</v>
      </c>
      <c r="K39" s="390">
        <f t="shared" ref="K39:K64" si="14">D*(E39/60)</f>
        <v>0</v>
      </c>
      <c r="L39" s="390">
        <f t="shared" ref="L39:L64" si="15">E*(E39/60)</f>
        <v>0</v>
      </c>
      <c r="M39" s="390">
        <f t="shared" ref="M39:M64" si="16">+G39*F_</f>
        <v>0</v>
      </c>
      <c r="N39" s="390">
        <f t="shared" ref="N39:N64" si="17">Mano_Obra_Lavado*(E39/60)</f>
        <v>0</v>
      </c>
      <c r="O39" s="390">
        <f t="shared" ref="O39:O64" si="18">+G39*G</f>
        <v>0</v>
      </c>
      <c r="P39" s="391">
        <f t="shared" si="11"/>
        <v>0</v>
      </c>
      <c r="R39" s="392"/>
    </row>
    <row r="40" spans="1:18" ht="15" customHeight="1">
      <c r="A40" s="384">
        <v>7</v>
      </c>
      <c r="B40" s="385"/>
      <c r="C40" s="386">
        <f t="shared" si="10"/>
        <v>0</v>
      </c>
      <c r="D40" s="387"/>
      <c r="E40" s="386">
        <f t="shared" si="0"/>
        <v>0</v>
      </c>
      <c r="F40" s="388"/>
      <c r="G40" s="389">
        <f t="shared" si="1"/>
        <v>14</v>
      </c>
      <c r="H40" s="390">
        <f t="shared" si="2"/>
        <v>0</v>
      </c>
      <c r="I40" s="390">
        <f t="shared" si="12"/>
        <v>0</v>
      </c>
      <c r="J40" s="390">
        <f t="shared" si="13"/>
        <v>0</v>
      </c>
      <c r="K40" s="390">
        <f t="shared" si="14"/>
        <v>0</v>
      </c>
      <c r="L40" s="390">
        <f t="shared" si="15"/>
        <v>0</v>
      </c>
      <c r="M40" s="390">
        <f t="shared" si="16"/>
        <v>0</v>
      </c>
      <c r="N40" s="390">
        <f t="shared" si="17"/>
        <v>0</v>
      </c>
      <c r="O40" s="390">
        <f t="shared" si="18"/>
        <v>0</v>
      </c>
      <c r="P40" s="391">
        <f t="shared" si="11"/>
        <v>0</v>
      </c>
      <c r="R40" s="392"/>
    </row>
    <row r="41" spans="1:18" ht="15" customHeight="1">
      <c r="A41" s="384">
        <v>8</v>
      </c>
      <c r="B41" s="385"/>
      <c r="C41" s="386">
        <f t="shared" si="10"/>
        <v>0</v>
      </c>
      <c r="D41" s="387"/>
      <c r="E41" s="386">
        <f t="shared" si="0"/>
        <v>0</v>
      </c>
      <c r="F41" s="388"/>
      <c r="G41" s="389">
        <f t="shared" si="1"/>
        <v>16</v>
      </c>
      <c r="H41" s="390">
        <f t="shared" si="2"/>
        <v>0</v>
      </c>
      <c r="I41" s="390">
        <f t="shared" si="12"/>
        <v>0</v>
      </c>
      <c r="J41" s="390">
        <f t="shared" si="13"/>
        <v>0</v>
      </c>
      <c r="K41" s="390">
        <f t="shared" si="14"/>
        <v>0</v>
      </c>
      <c r="L41" s="390">
        <f t="shared" si="15"/>
        <v>0</v>
      </c>
      <c r="M41" s="390">
        <f t="shared" si="16"/>
        <v>0</v>
      </c>
      <c r="N41" s="390">
        <f t="shared" si="17"/>
        <v>0</v>
      </c>
      <c r="O41" s="390">
        <f t="shared" si="18"/>
        <v>0</v>
      </c>
      <c r="P41" s="391">
        <f t="shared" si="11"/>
        <v>0</v>
      </c>
      <c r="R41" s="392"/>
    </row>
    <row r="42" spans="1:18" ht="15" customHeight="1">
      <c r="A42" s="384">
        <v>9</v>
      </c>
      <c r="B42" s="385"/>
      <c r="C42" s="386">
        <f t="shared" si="10"/>
        <v>0</v>
      </c>
      <c r="D42" s="387"/>
      <c r="E42" s="386">
        <f t="shared" si="0"/>
        <v>0</v>
      </c>
      <c r="F42" s="388"/>
      <c r="G42" s="389">
        <f t="shared" si="1"/>
        <v>18</v>
      </c>
      <c r="H42" s="390">
        <f t="shared" si="2"/>
        <v>0</v>
      </c>
      <c r="I42" s="390">
        <f t="shared" si="12"/>
        <v>0</v>
      </c>
      <c r="J42" s="390">
        <f t="shared" si="13"/>
        <v>0</v>
      </c>
      <c r="K42" s="390">
        <f t="shared" si="14"/>
        <v>0</v>
      </c>
      <c r="L42" s="390">
        <f t="shared" si="15"/>
        <v>0</v>
      </c>
      <c r="M42" s="390">
        <f t="shared" si="16"/>
        <v>0</v>
      </c>
      <c r="N42" s="390">
        <f t="shared" si="17"/>
        <v>0</v>
      </c>
      <c r="O42" s="390">
        <f t="shared" si="18"/>
        <v>0</v>
      </c>
      <c r="P42" s="391">
        <f t="shared" si="11"/>
        <v>0</v>
      </c>
      <c r="R42" s="392"/>
    </row>
    <row r="43" spans="1:18" ht="15" customHeight="1">
      <c r="A43" s="384">
        <v>10</v>
      </c>
      <c r="B43" s="385"/>
      <c r="C43" s="386">
        <f t="shared" si="10"/>
        <v>0</v>
      </c>
      <c r="D43" s="387"/>
      <c r="E43" s="386">
        <f t="shared" si="0"/>
        <v>0</v>
      </c>
      <c r="F43" s="388"/>
      <c r="G43" s="389">
        <f t="shared" si="1"/>
        <v>20</v>
      </c>
      <c r="H43" s="390">
        <f t="shared" si="2"/>
        <v>0</v>
      </c>
      <c r="I43" s="390">
        <f t="shared" si="12"/>
        <v>0</v>
      </c>
      <c r="J43" s="390">
        <f t="shared" si="13"/>
        <v>0</v>
      </c>
      <c r="K43" s="390">
        <f t="shared" si="14"/>
        <v>0</v>
      </c>
      <c r="L43" s="390">
        <f t="shared" si="15"/>
        <v>0</v>
      </c>
      <c r="M43" s="390">
        <f t="shared" si="16"/>
        <v>0</v>
      </c>
      <c r="N43" s="390">
        <f t="shared" si="17"/>
        <v>0</v>
      </c>
      <c r="O43" s="390">
        <f t="shared" si="18"/>
        <v>0</v>
      </c>
      <c r="P43" s="391">
        <f t="shared" si="11"/>
        <v>0</v>
      </c>
      <c r="R43" s="392"/>
    </row>
    <row r="44" spans="1:18" ht="15" customHeight="1">
      <c r="A44" s="384">
        <v>12</v>
      </c>
      <c r="B44" s="385"/>
      <c r="C44" s="386">
        <f t="shared" si="10"/>
        <v>0</v>
      </c>
      <c r="D44" s="387"/>
      <c r="E44" s="386">
        <f t="shared" si="0"/>
        <v>0</v>
      </c>
      <c r="F44" s="388"/>
      <c r="G44" s="389">
        <f t="shared" si="1"/>
        <v>24</v>
      </c>
      <c r="H44" s="390">
        <f t="shared" si="2"/>
        <v>0</v>
      </c>
      <c r="I44" s="390">
        <f t="shared" si="12"/>
        <v>0</v>
      </c>
      <c r="J44" s="390">
        <f t="shared" si="13"/>
        <v>0</v>
      </c>
      <c r="K44" s="390">
        <f t="shared" si="14"/>
        <v>0</v>
      </c>
      <c r="L44" s="390">
        <f t="shared" si="15"/>
        <v>0</v>
      </c>
      <c r="M44" s="390">
        <f t="shared" si="16"/>
        <v>0</v>
      </c>
      <c r="N44" s="390">
        <f t="shared" si="17"/>
        <v>0</v>
      </c>
      <c r="O44" s="390">
        <f t="shared" si="18"/>
        <v>0</v>
      </c>
      <c r="P44" s="391">
        <f t="shared" si="11"/>
        <v>0</v>
      </c>
      <c r="R44" s="392"/>
    </row>
    <row r="45" spans="1:18" ht="15" customHeight="1">
      <c r="A45" s="384">
        <v>15</v>
      </c>
      <c r="B45" s="385"/>
      <c r="C45" s="386">
        <f t="shared" si="10"/>
        <v>0</v>
      </c>
      <c r="D45" s="387"/>
      <c r="E45" s="386">
        <f t="shared" si="0"/>
        <v>0</v>
      </c>
      <c r="F45" s="388"/>
      <c r="G45" s="389">
        <f t="shared" si="1"/>
        <v>30</v>
      </c>
      <c r="H45" s="390">
        <f t="shared" si="2"/>
        <v>0</v>
      </c>
      <c r="I45" s="390">
        <f t="shared" si="12"/>
        <v>0</v>
      </c>
      <c r="J45" s="390">
        <f t="shared" si="13"/>
        <v>0</v>
      </c>
      <c r="K45" s="390">
        <f t="shared" si="14"/>
        <v>0</v>
      </c>
      <c r="L45" s="390">
        <f t="shared" si="15"/>
        <v>0</v>
      </c>
      <c r="M45" s="390">
        <f t="shared" si="16"/>
        <v>0</v>
      </c>
      <c r="N45" s="390">
        <f t="shared" si="17"/>
        <v>0</v>
      </c>
      <c r="O45" s="390">
        <f t="shared" si="18"/>
        <v>0</v>
      </c>
      <c r="P45" s="391">
        <f t="shared" si="11"/>
        <v>0</v>
      </c>
      <c r="R45" s="392"/>
    </row>
    <row r="46" spans="1:18" ht="15" customHeight="1">
      <c r="A46" s="384">
        <v>17</v>
      </c>
      <c r="B46" s="385"/>
      <c r="C46" s="386">
        <f t="shared" si="10"/>
        <v>0</v>
      </c>
      <c r="D46" s="387"/>
      <c r="E46" s="386">
        <f t="shared" si="0"/>
        <v>0</v>
      </c>
      <c r="F46" s="388"/>
      <c r="G46" s="389">
        <f t="shared" si="1"/>
        <v>34</v>
      </c>
      <c r="H46" s="390">
        <f t="shared" si="2"/>
        <v>0</v>
      </c>
      <c r="I46" s="390">
        <f t="shared" si="12"/>
        <v>0</v>
      </c>
      <c r="J46" s="390">
        <f t="shared" si="13"/>
        <v>0</v>
      </c>
      <c r="K46" s="390">
        <f t="shared" si="14"/>
        <v>0</v>
      </c>
      <c r="L46" s="390">
        <f t="shared" si="15"/>
        <v>0</v>
      </c>
      <c r="M46" s="390">
        <f t="shared" si="16"/>
        <v>0</v>
      </c>
      <c r="N46" s="390">
        <f t="shared" si="17"/>
        <v>0</v>
      </c>
      <c r="O46" s="390">
        <f t="shared" si="18"/>
        <v>0</v>
      </c>
      <c r="P46" s="391">
        <f t="shared" si="11"/>
        <v>0</v>
      </c>
      <c r="R46" s="392"/>
    </row>
    <row r="47" spans="1:18" ht="15" customHeight="1">
      <c r="A47" s="384">
        <v>19</v>
      </c>
      <c r="B47" s="385"/>
      <c r="C47" s="386">
        <f t="shared" si="10"/>
        <v>0</v>
      </c>
      <c r="D47" s="387"/>
      <c r="E47" s="386">
        <f t="shared" si="0"/>
        <v>0</v>
      </c>
      <c r="F47" s="388"/>
      <c r="G47" s="389">
        <f t="shared" si="1"/>
        <v>38</v>
      </c>
      <c r="H47" s="390">
        <f t="shared" si="2"/>
        <v>0</v>
      </c>
      <c r="I47" s="390">
        <f t="shared" si="12"/>
        <v>0</v>
      </c>
      <c r="J47" s="390">
        <f t="shared" si="13"/>
        <v>0</v>
      </c>
      <c r="K47" s="390">
        <f t="shared" si="14"/>
        <v>0</v>
      </c>
      <c r="L47" s="390">
        <f t="shared" si="15"/>
        <v>0</v>
      </c>
      <c r="M47" s="390">
        <f t="shared" si="16"/>
        <v>0</v>
      </c>
      <c r="N47" s="390">
        <f t="shared" si="17"/>
        <v>0</v>
      </c>
      <c r="O47" s="390">
        <f t="shared" si="18"/>
        <v>0</v>
      </c>
      <c r="P47" s="391">
        <f t="shared" si="11"/>
        <v>0</v>
      </c>
      <c r="R47" s="392"/>
    </row>
    <row r="48" spans="1:18" ht="15" customHeight="1">
      <c r="A48" s="384">
        <v>20</v>
      </c>
      <c r="B48" s="385"/>
      <c r="C48" s="386">
        <f t="shared" si="10"/>
        <v>0</v>
      </c>
      <c r="D48" s="387"/>
      <c r="E48" s="386">
        <f t="shared" si="0"/>
        <v>0</v>
      </c>
      <c r="F48" s="388"/>
      <c r="G48" s="389">
        <f t="shared" si="1"/>
        <v>40</v>
      </c>
      <c r="H48" s="390">
        <f t="shared" si="2"/>
        <v>0</v>
      </c>
      <c r="I48" s="390">
        <f t="shared" si="12"/>
        <v>0</v>
      </c>
      <c r="J48" s="390">
        <f t="shared" si="13"/>
        <v>0</v>
      </c>
      <c r="K48" s="390">
        <f t="shared" si="14"/>
        <v>0</v>
      </c>
      <c r="L48" s="390">
        <f t="shared" si="15"/>
        <v>0</v>
      </c>
      <c r="M48" s="390">
        <f t="shared" si="16"/>
        <v>0</v>
      </c>
      <c r="N48" s="390">
        <f t="shared" si="17"/>
        <v>0</v>
      </c>
      <c r="O48" s="390">
        <f t="shared" si="18"/>
        <v>0</v>
      </c>
      <c r="P48" s="391">
        <f t="shared" si="11"/>
        <v>0</v>
      </c>
      <c r="R48" s="392"/>
    </row>
    <row r="49" spans="1:18" ht="15" customHeight="1">
      <c r="A49" s="384">
        <v>25</v>
      </c>
      <c r="B49" s="385"/>
      <c r="C49" s="386">
        <f t="shared" si="10"/>
        <v>0</v>
      </c>
      <c r="D49" s="387"/>
      <c r="E49" s="386">
        <f t="shared" si="0"/>
        <v>0</v>
      </c>
      <c r="F49" s="388"/>
      <c r="G49" s="389">
        <f t="shared" si="1"/>
        <v>50</v>
      </c>
      <c r="H49" s="390">
        <f t="shared" si="2"/>
        <v>0</v>
      </c>
      <c r="I49" s="390">
        <f t="shared" si="12"/>
        <v>0</v>
      </c>
      <c r="J49" s="390">
        <f t="shared" si="13"/>
        <v>0</v>
      </c>
      <c r="K49" s="390">
        <f t="shared" si="14"/>
        <v>0</v>
      </c>
      <c r="L49" s="390">
        <f t="shared" si="15"/>
        <v>0</v>
      </c>
      <c r="M49" s="390">
        <f t="shared" si="16"/>
        <v>0</v>
      </c>
      <c r="N49" s="390">
        <f t="shared" si="17"/>
        <v>0</v>
      </c>
      <c r="O49" s="390">
        <f t="shared" si="18"/>
        <v>0</v>
      </c>
      <c r="P49" s="391">
        <f t="shared" si="11"/>
        <v>0</v>
      </c>
      <c r="R49" s="392"/>
    </row>
    <row r="50" spans="1:18" ht="15" customHeight="1">
      <c r="A50" s="384">
        <v>30</v>
      </c>
      <c r="B50" s="385"/>
      <c r="C50" s="386">
        <f t="shared" si="10"/>
        <v>0</v>
      </c>
      <c r="D50" s="387"/>
      <c r="E50" s="386">
        <f t="shared" si="0"/>
        <v>0</v>
      </c>
      <c r="F50" s="388"/>
      <c r="G50" s="389">
        <f t="shared" si="1"/>
        <v>60</v>
      </c>
      <c r="H50" s="390">
        <f t="shared" si="2"/>
        <v>0</v>
      </c>
      <c r="I50" s="390">
        <f t="shared" si="12"/>
        <v>0</v>
      </c>
      <c r="J50" s="390">
        <f t="shared" si="13"/>
        <v>0</v>
      </c>
      <c r="K50" s="390">
        <f t="shared" si="14"/>
        <v>0</v>
      </c>
      <c r="L50" s="390">
        <f t="shared" si="15"/>
        <v>0</v>
      </c>
      <c r="M50" s="390">
        <f t="shared" si="16"/>
        <v>0</v>
      </c>
      <c r="N50" s="390">
        <f t="shared" si="17"/>
        <v>0</v>
      </c>
      <c r="O50" s="390">
        <f t="shared" si="18"/>
        <v>0</v>
      </c>
      <c r="P50" s="391">
        <f t="shared" si="11"/>
        <v>0</v>
      </c>
      <c r="R50" s="392"/>
    </row>
    <row r="51" spans="1:18" ht="15" customHeight="1">
      <c r="A51" s="384">
        <v>35</v>
      </c>
      <c r="B51" s="385"/>
      <c r="C51" s="386">
        <f t="shared" si="10"/>
        <v>0</v>
      </c>
      <c r="D51" s="387"/>
      <c r="E51" s="386">
        <f t="shared" si="0"/>
        <v>0</v>
      </c>
      <c r="F51" s="388"/>
      <c r="G51" s="389">
        <f t="shared" si="1"/>
        <v>70</v>
      </c>
      <c r="H51" s="390">
        <f t="shared" si="2"/>
        <v>0</v>
      </c>
      <c r="I51" s="390">
        <f t="shared" si="12"/>
        <v>0</v>
      </c>
      <c r="J51" s="390">
        <f t="shared" si="13"/>
        <v>0</v>
      </c>
      <c r="K51" s="390">
        <f t="shared" si="14"/>
        <v>0</v>
      </c>
      <c r="L51" s="390">
        <f t="shared" si="15"/>
        <v>0</v>
      </c>
      <c r="M51" s="390">
        <f t="shared" si="16"/>
        <v>0</v>
      </c>
      <c r="N51" s="390">
        <f t="shared" si="17"/>
        <v>0</v>
      </c>
      <c r="O51" s="390">
        <f t="shared" si="18"/>
        <v>0</v>
      </c>
      <c r="P51" s="391">
        <f t="shared" si="11"/>
        <v>0</v>
      </c>
      <c r="R51" s="392"/>
    </row>
    <row r="52" spans="1:18" ht="15" customHeight="1">
      <c r="A52" s="384">
        <v>40</v>
      </c>
      <c r="B52" s="385"/>
      <c r="C52" s="386">
        <f t="shared" si="10"/>
        <v>0</v>
      </c>
      <c r="D52" s="387"/>
      <c r="E52" s="386">
        <f t="shared" si="0"/>
        <v>0</v>
      </c>
      <c r="F52" s="388"/>
      <c r="G52" s="389">
        <f t="shared" si="1"/>
        <v>80</v>
      </c>
      <c r="H52" s="390">
        <f t="shared" si="2"/>
        <v>0</v>
      </c>
      <c r="I52" s="390">
        <f t="shared" si="12"/>
        <v>0</v>
      </c>
      <c r="J52" s="390">
        <f t="shared" si="13"/>
        <v>0</v>
      </c>
      <c r="K52" s="390">
        <f t="shared" si="14"/>
        <v>0</v>
      </c>
      <c r="L52" s="390">
        <f t="shared" si="15"/>
        <v>0</v>
      </c>
      <c r="M52" s="390">
        <f t="shared" si="16"/>
        <v>0</v>
      </c>
      <c r="N52" s="390">
        <f t="shared" si="17"/>
        <v>0</v>
      </c>
      <c r="O52" s="390">
        <f t="shared" si="18"/>
        <v>0</v>
      </c>
      <c r="P52" s="391">
        <f t="shared" si="11"/>
        <v>0</v>
      </c>
      <c r="R52" s="392"/>
    </row>
    <row r="53" spans="1:18" ht="15" customHeight="1">
      <c r="A53" s="384">
        <v>45</v>
      </c>
      <c r="B53" s="385"/>
      <c r="C53" s="386">
        <f t="shared" si="10"/>
        <v>0</v>
      </c>
      <c r="D53" s="387"/>
      <c r="E53" s="386">
        <f t="shared" si="0"/>
        <v>0</v>
      </c>
      <c r="F53" s="388"/>
      <c r="G53" s="389">
        <f t="shared" si="1"/>
        <v>90</v>
      </c>
      <c r="H53" s="390">
        <f t="shared" si="2"/>
        <v>0</v>
      </c>
      <c r="I53" s="390">
        <f t="shared" si="12"/>
        <v>0</v>
      </c>
      <c r="J53" s="390">
        <f t="shared" si="13"/>
        <v>0</v>
      </c>
      <c r="K53" s="390">
        <f t="shared" si="14"/>
        <v>0</v>
      </c>
      <c r="L53" s="390">
        <f t="shared" si="15"/>
        <v>0</v>
      </c>
      <c r="M53" s="390">
        <f t="shared" si="16"/>
        <v>0</v>
      </c>
      <c r="N53" s="390">
        <f t="shared" si="17"/>
        <v>0</v>
      </c>
      <c r="O53" s="390">
        <f t="shared" si="18"/>
        <v>0</v>
      </c>
      <c r="P53" s="391">
        <f t="shared" si="11"/>
        <v>0</v>
      </c>
      <c r="R53" s="392"/>
    </row>
    <row r="54" spans="1:18" ht="15" customHeight="1">
      <c r="A54" s="384">
        <v>50</v>
      </c>
      <c r="B54" s="385"/>
      <c r="C54" s="386">
        <f t="shared" si="10"/>
        <v>0</v>
      </c>
      <c r="D54" s="387"/>
      <c r="E54" s="386">
        <f t="shared" si="0"/>
        <v>0</v>
      </c>
      <c r="F54" s="388"/>
      <c r="G54" s="389">
        <f t="shared" si="1"/>
        <v>100</v>
      </c>
      <c r="H54" s="390">
        <f t="shared" si="2"/>
        <v>0</v>
      </c>
      <c r="I54" s="390">
        <f t="shared" si="12"/>
        <v>0</v>
      </c>
      <c r="J54" s="390">
        <f t="shared" si="13"/>
        <v>0</v>
      </c>
      <c r="K54" s="390">
        <f t="shared" si="14"/>
        <v>0</v>
      </c>
      <c r="L54" s="390">
        <f t="shared" si="15"/>
        <v>0</v>
      </c>
      <c r="M54" s="390">
        <f t="shared" si="16"/>
        <v>0</v>
      </c>
      <c r="N54" s="390">
        <f t="shared" si="17"/>
        <v>0</v>
      </c>
      <c r="O54" s="390">
        <f t="shared" si="18"/>
        <v>0</v>
      </c>
      <c r="P54" s="391">
        <f t="shared" si="11"/>
        <v>0</v>
      </c>
      <c r="R54" s="392"/>
    </row>
    <row r="55" spans="1:18" ht="15" customHeight="1">
      <c r="A55" s="384">
        <v>55</v>
      </c>
      <c r="B55" s="385"/>
      <c r="C55" s="386">
        <f t="shared" si="10"/>
        <v>0</v>
      </c>
      <c r="D55" s="387"/>
      <c r="E55" s="386">
        <f t="shared" si="0"/>
        <v>0</v>
      </c>
      <c r="F55" s="388"/>
      <c r="G55" s="389">
        <f t="shared" si="1"/>
        <v>110</v>
      </c>
      <c r="H55" s="390">
        <f t="shared" si="2"/>
        <v>0</v>
      </c>
      <c r="I55" s="390">
        <f t="shared" si="12"/>
        <v>0</v>
      </c>
      <c r="J55" s="390">
        <f t="shared" si="13"/>
        <v>0</v>
      </c>
      <c r="K55" s="390">
        <f t="shared" si="14"/>
        <v>0</v>
      </c>
      <c r="L55" s="390">
        <f t="shared" si="15"/>
        <v>0</v>
      </c>
      <c r="M55" s="390">
        <f t="shared" si="16"/>
        <v>0</v>
      </c>
      <c r="N55" s="390">
        <f t="shared" si="17"/>
        <v>0</v>
      </c>
      <c r="O55" s="390">
        <f t="shared" si="18"/>
        <v>0</v>
      </c>
      <c r="P55" s="391">
        <f t="shared" si="11"/>
        <v>0</v>
      </c>
      <c r="R55" s="392"/>
    </row>
    <row r="56" spans="1:18" ht="15" customHeight="1">
      <c r="A56" s="384">
        <v>60</v>
      </c>
      <c r="B56" s="385"/>
      <c r="C56" s="386">
        <f t="shared" si="10"/>
        <v>0</v>
      </c>
      <c r="D56" s="387"/>
      <c r="E56" s="386">
        <f t="shared" si="0"/>
        <v>0</v>
      </c>
      <c r="F56" s="388"/>
      <c r="G56" s="389">
        <f t="shared" si="1"/>
        <v>120</v>
      </c>
      <c r="H56" s="390">
        <f t="shared" si="2"/>
        <v>0</v>
      </c>
      <c r="I56" s="390">
        <f t="shared" si="12"/>
        <v>0</v>
      </c>
      <c r="J56" s="390">
        <f t="shared" si="13"/>
        <v>0</v>
      </c>
      <c r="K56" s="390">
        <f t="shared" si="14"/>
        <v>0</v>
      </c>
      <c r="L56" s="390">
        <f t="shared" si="15"/>
        <v>0</v>
      </c>
      <c r="M56" s="390">
        <f t="shared" si="16"/>
        <v>0</v>
      </c>
      <c r="N56" s="390">
        <f t="shared" si="17"/>
        <v>0</v>
      </c>
      <c r="O56" s="390">
        <f t="shared" si="18"/>
        <v>0</v>
      </c>
      <c r="P56" s="391">
        <f t="shared" si="11"/>
        <v>0</v>
      </c>
      <c r="R56" s="392"/>
    </row>
    <row r="57" spans="1:18" ht="15" customHeight="1">
      <c r="A57" s="384">
        <v>65</v>
      </c>
      <c r="B57" s="385"/>
      <c r="C57" s="386">
        <f t="shared" si="10"/>
        <v>0</v>
      </c>
      <c r="D57" s="387"/>
      <c r="E57" s="386">
        <f t="shared" si="0"/>
        <v>0</v>
      </c>
      <c r="F57" s="388"/>
      <c r="G57" s="389">
        <f t="shared" si="1"/>
        <v>130</v>
      </c>
      <c r="H57" s="390">
        <f t="shared" si="2"/>
        <v>0</v>
      </c>
      <c r="I57" s="390">
        <f t="shared" si="12"/>
        <v>0</v>
      </c>
      <c r="J57" s="390">
        <f t="shared" si="13"/>
        <v>0</v>
      </c>
      <c r="K57" s="390">
        <f t="shared" si="14"/>
        <v>0</v>
      </c>
      <c r="L57" s="390">
        <f t="shared" si="15"/>
        <v>0</v>
      </c>
      <c r="M57" s="390">
        <f t="shared" si="16"/>
        <v>0</v>
      </c>
      <c r="N57" s="390">
        <f t="shared" si="17"/>
        <v>0</v>
      </c>
      <c r="O57" s="390">
        <f t="shared" si="18"/>
        <v>0</v>
      </c>
      <c r="P57" s="391">
        <f t="shared" si="11"/>
        <v>0</v>
      </c>
      <c r="R57" s="392"/>
    </row>
    <row r="58" spans="1:18" ht="15" customHeight="1">
      <c r="A58" s="384">
        <v>70</v>
      </c>
      <c r="B58" s="385"/>
      <c r="C58" s="386">
        <f t="shared" si="10"/>
        <v>0</v>
      </c>
      <c r="D58" s="387"/>
      <c r="E58" s="386">
        <f t="shared" si="0"/>
        <v>0</v>
      </c>
      <c r="F58" s="388"/>
      <c r="G58" s="389">
        <f t="shared" si="1"/>
        <v>140</v>
      </c>
      <c r="H58" s="390">
        <f t="shared" si="2"/>
        <v>0</v>
      </c>
      <c r="I58" s="390">
        <f t="shared" si="12"/>
        <v>0</v>
      </c>
      <c r="J58" s="390">
        <f t="shared" si="13"/>
        <v>0</v>
      </c>
      <c r="K58" s="390">
        <f t="shared" si="14"/>
        <v>0</v>
      </c>
      <c r="L58" s="390">
        <f t="shared" si="15"/>
        <v>0</v>
      </c>
      <c r="M58" s="390">
        <f t="shared" si="16"/>
        <v>0</v>
      </c>
      <c r="N58" s="390">
        <f t="shared" si="17"/>
        <v>0</v>
      </c>
      <c r="O58" s="390">
        <f t="shared" si="18"/>
        <v>0</v>
      </c>
      <c r="P58" s="391">
        <f t="shared" si="11"/>
        <v>0</v>
      </c>
      <c r="R58" s="392"/>
    </row>
    <row r="59" spans="1:18" ht="15" customHeight="1">
      <c r="A59" s="384">
        <v>75</v>
      </c>
      <c r="B59" s="385"/>
      <c r="C59" s="386">
        <f t="shared" si="10"/>
        <v>0</v>
      </c>
      <c r="D59" s="387"/>
      <c r="E59" s="386">
        <f t="shared" si="0"/>
        <v>0</v>
      </c>
      <c r="F59" s="388"/>
      <c r="G59" s="389">
        <f t="shared" si="1"/>
        <v>150</v>
      </c>
      <c r="H59" s="390">
        <f t="shared" si="2"/>
        <v>0</v>
      </c>
      <c r="I59" s="390">
        <f t="shared" si="12"/>
        <v>0</v>
      </c>
      <c r="J59" s="390">
        <f t="shared" si="13"/>
        <v>0</v>
      </c>
      <c r="K59" s="390">
        <f t="shared" si="14"/>
        <v>0</v>
      </c>
      <c r="L59" s="390">
        <f t="shared" si="15"/>
        <v>0</v>
      </c>
      <c r="M59" s="390">
        <f t="shared" si="16"/>
        <v>0</v>
      </c>
      <c r="N59" s="390">
        <f t="shared" si="17"/>
        <v>0</v>
      </c>
      <c r="O59" s="390">
        <f t="shared" si="18"/>
        <v>0</v>
      </c>
      <c r="P59" s="391">
        <f t="shared" si="11"/>
        <v>0</v>
      </c>
      <c r="R59" s="392"/>
    </row>
    <row r="60" spans="1:18" ht="15" customHeight="1">
      <c r="A60" s="384">
        <v>80</v>
      </c>
      <c r="B60" s="385"/>
      <c r="C60" s="386">
        <f t="shared" si="10"/>
        <v>0</v>
      </c>
      <c r="D60" s="387"/>
      <c r="E60" s="386">
        <f t="shared" si="0"/>
        <v>0</v>
      </c>
      <c r="F60" s="388"/>
      <c r="G60" s="389">
        <f t="shared" si="1"/>
        <v>160</v>
      </c>
      <c r="H60" s="390">
        <f t="shared" si="2"/>
        <v>0</v>
      </c>
      <c r="I60" s="390">
        <f t="shared" si="12"/>
        <v>0</v>
      </c>
      <c r="J60" s="390">
        <f t="shared" si="13"/>
        <v>0</v>
      </c>
      <c r="K60" s="390">
        <f t="shared" si="14"/>
        <v>0</v>
      </c>
      <c r="L60" s="390">
        <f t="shared" si="15"/>
        <v>0</v>
      </c>
      <c r="M60" s="390">
        <f t="shared" si="16"/>
        <v>0</v>
      </c>
      <c r="N60" s="390">
        <f t="shared" si="17"/>
        <v>0</v>
      </c>
      <c r="O60" s="390">
        <f t="shared" si="18"/>
        <v>0</v>
      </c>
      <c r="P60" s="391">
        <f t="shared" si="11"/>
        <v>0</v>
      </c>
      <c r="R60" s="392"/>
    </row>
    <row r="61" spans="1:18" ht="15" customHeight="1">
      <c r="A61" s="384">
        <v>85</v>
      </c>
      <c r="B61" s="385"/>
      <c r="C61" s="386">
        <f t="shared" si="10"/>
        <v>0</v>
      </c>
      <c r="D61" s="387"/>
      <c r="E61" s="386">
        <f t="shared" si="0"/>
        <v>0</v>
      </c>
      <c r="F61" s="388"/>
      <c r="G61" s="389">
        <f t="shared" si="1"/>
        <v>170</v>
      </c>
      <c r="H61" s="390">
        <f t="shared" si="2"/>
        <v>0</v>
      </c>
      <c r="I61" s="390">
        <f t="shared" si="12"/>
        <v>0</v>
      </c>
      <c r="J61" s="390">
        <f t="shared" si="13"/>
        <v>0</v>
      </c>
      <c r="K61" s="390">
        <f t="shared" si="14"/>
        <v>0</v>
      </c>
      <c r="L61" s="390">
        <f t="shared" si="15"/>
        <v>0</v>
      </c>
      <c r="M61" s="390">
        <f t="shared" si="16"/>
        <v>0</v>
      </c>
      <c r="N61" s="390">
        <f t="shared" si="17"/>
        <v>0</v>
      </c>
      <c r="O61" s="390">
        <f t="shared" si="18"/>
        <v>0</v>
      </c>
      <c r="P61" s="391">
        <f t="shared" si="11"/>
        <v>0</v>
      </c>
      <c r="R61" s="392"/>
    </row>
    <row r="62" spans="1:18" ht="15" customHeight="1">
      <c r="A62" s="384">
        <v>90</v>
      </c>
      <c r="B62" s="385"/>
      <c r="C62" s="386">
        <f t="shared" si="10"/>
        <v>0</v>
      </c>
      <c r="D62" s="387"/>
      <c r="E62" s="386">
        <f t="shared" si="0"/>
        <v>0</v>
      </c>
      <c r="F62" s="388"/>
      <c r="G62" s="389">
        <f t="shared" si="1"/>
        <v>180</v>
      </c>
      <c r="H62" s="390">
        <f t="shared" si="2"/>
        <v>0</v>
      </c>
      <c r="I62" s="390">
        <f t="shared" si="12"/>
        <v>0</v>
      </c>
      <c r="J62" s="390">
        <f t="shared" si="13"/>
        <v>0</v>
      </c>
      <c r="K62" s="390">
        <f t="shared" si="14"/>
        <v>0</v>
      </c>
      <c r="L62" s="390">
        <f t="shared" si="15"/>
        <v>0</v>
      </c>
      <c r="M62" s="390">
        <f t="shared" si="16"/>
        <v>0</v>
      </c>
      <c r="N62" s="390">
        <f t="shared" si="17"/>
        <v>0</v>
      </c>
      <c r="O62" s="390">
        <f t="shared" si="18"/>
        <v>0</v>
      </c>
      <c r="P62" s="391">
        <f t="shared" si="11"/>
        <v>0</v>
      </c>
      <c r="R62" s="392"/>
    </row>
    <row r="63" spans="1:18" ht="15" customHeight="1">
      <c r="A63" s="384">
        <v>95</v>
      </c>
      <c r="B63" s="385"/>
      <c r="C63" s="386">
        <f t="shared" si="10"/>
        <v>0</v>
      </c>
      <c r="D63" s="387"/>
      <c r="E63" s="386">
        <f t="shared" si="0"/>
        <v>0</v>
      </c>
      <c r="F63" s="388"/>
      <c r="G63" s="389">
        <f t="shared" si="1"/>
        <v>190</v>
      </c>
      <c r="H63" s="390">
        <f t="shared" si="2"/>
        <v>0</v>
      </c>
      <c r="I63" s="390">
        <f t="shared" si="12"/>
        <v>0</v>
      </c>
      <c r="J63" s="390">
        <f t="shared" si="13"/>
        <v>0</v>
      </c>
      <c r="K63" s="390">
        <f t="shared" si="14"/>
        <v>0</v>
      </c>
      <c r="L63" s="390">
        <f t="shared" si="15"/>
        <v>0</v>
      </c>
      <c r="M63" s="390">
        <f t="shared" si="16"/>
        <v>0</v>
      </c>
      <c r="N63" s="390">
        <f t="shared" si="17"/>
        <v>0</v>
      </c>
      <c r="O63" s="390">
        <f t="shared" si="18"/>
        <v>0</v>
      </c>
      <c r="P63" s="391">
        <f t="shared" si="11"/>
        <v>0</v>
      </c>
      <c r="R63" s="392"/>
    </row>
    <row r="64" spans="1:18" ht="15" customHeight="1">
      <c r="A64" s="384">
        <v>100</v>
      </c>
      <c r="B64" s="385"/>
      <c r="C64" s="386">
        <f t="shared" si="10"/>
        <v>0</v>
      </c>
      <c r="D64" s="387"/>
      <c r="E64" s="386">
        <f t="shared" si="0"/>
        <v>0</v>
      </c>
      <c r="F64" s="388"/>
      <c r="G64" s="389">
        <f t="shared" si="1"/>
        <v>200</v>
      </c>
      <c r="H64" s="390">
        <f t="shared" si="2"/>
        <v>0</v>
      </c>
      <c r="I64" s="390">
        <f t="shared" si="12"/>
        <v>0</v>
      </c>
      <c r="J64" s="390">
        <f t="shared" si="13"/>
        <v>0</v>
      </c>
      <c r="K64" s="390">
        <f t="shared" si="14"/>
        <v>0</v>
      </c>
      <c r="L64" s="390">
        <f t="shared" si="15"/>
        <v>0</v>
      </c>
      <c r="M64" s="390">
        <f t="shared" si="16"/>
        <v>0</v>
      </c>
      <c r="N64" s="390">
        <f t="shared" si="17"/>
        <v>0</v>
      </c>
      <c r="O64" s="390">
        <f t="shared" si="18"/>
        <v>0</v>
      </c>
      <c r="P64" s="391">
        <f t="shared" si="11"/>
        <v>0</v>
      </c>
      <c r="R64" s="392"/>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3" workbookViewId="0">
      <selection activeCell="A23" sqref="A23:E23"/>
    </sheetView>
  </sheetViews>
  <sheetFormatPr baseColWidth="10" defaultRowHeight="15" customHeight="1"/>
  <cols>
    <col min="1" max="1" width="7.7109375" style="362" customWidth="1"/>
    <col min="2" max="4" width="10.7109375" style="362" customWidth="1"/>
    <col min="5" max="5" width="13.85546875" style="362" bestFit="1" customWidth="1"/>
    <col min="6" max="6" width="10.7109375" style="362" customWidth="1"/>
    <col min="7" max="7" width="9.42578125" style="362" customWidth="1"/>
    <col min="8" max="8" width="10.5703125" style="362" customWidth="1"/>
    <col min="9" max="9" width="13.7109375" style="362" customWidth="1"/>
    <col min="10" max="11" width="10.42578125" style="362" customWidth="1"/>
    <col min="12" max="12" width="10.28515625" style="362" customWidth="1"/>
    <col min="13" max="13" width="9.42578125" style="362" customWidth="1"/>
    <col min="14" max="14" width="8.7109375" style="362" customWidth="1"/>
    <col min="15" max="15" width="13.28515625" style="362" bestFit="1" customWidth="1"/>
    <col min="16" max="16" width="10.28515625" style="362" customWidth="1"/>
    <col min="17" max="256" width="11.42578125" style="362"/>
    <col min="257" max="257" width="7" style="362" customWidth="1"/>
    <col min="258" max="258" width="10.7109375" style="362" customWidth="1"/>
    <col min="259" max="259" width="10.5703125" style="362" customWidth="1"/>
    <col min="260" max="260" width="10.7109375" style="362" customWidth="1"/>
    <col min="261" max="261" width="10.28515625" style="362" customWidth="1"/>
    <col min="262" max="262" width="10.7109375" style="362" customWidth="1"/>
    <col min="263" max="263" width="9.42578125" style="362" customWidth="1"/>
    <col min="264" max="264" width="10.5703125" style="362" customWidth="1"/>
    <col min="265" max="265" width="13.7109375" style="362" customWidth="1"/>
    <col min="266" max="267" width="10.42578125" style="362" customWidth="1"/>
    <col min="268" max="268" width="10.28515625" style="362" customWidth="1"/>
    <col min="269" max="269" width="9.42578125" style="362" customWidth="1"/>
    <col min="270" max="270" width="8.7109375" style="362" customWidth="1"/>
    <col min="271" max="271" width="10.42578125" style="362" customWidth="1"/>
    <col min="272" max="272" width="10.28515625" style="362" customWidth="1"/>
    <col min="273" max="512" width="11.42578125" style="362"/>
    <col min="513" max="513" width="7" style="362" customWidth="1"/>
    <col min="514" max="514" width="10.7109375" style="362" customWidth="1"/>
    <col min="515" max="515" width="10.5703125" style="362" customWidth="1"/>
    <col min="516" max="516" width="10.7109375" style="362" customWidth="1"/>
    <col min="517" max="517" width="10.28515625" style="362" customWidth="1"/>
    <col min="518" max="518" width="10.7109375" style="362" customWidth="1"/>
    <col min="519" max="519" width="9.42578125" style="362" customWidth="1"/>
    <col min="520" max="520" width="10.5703125" style="362" customWidth="1"/>
    <col min="521" max="521" width="13.7109375" style="362" customWidth="1"/>
    <col min="522" max="523" width="10.42578125" style="362" customWidth="1"/>
    <col min="524" max="524" width="10.28515625" style="362" customWidth="1"/>
    <col min="525" max="525" width="9.42578125" style="362" customWidth="1"/>
    <col min="526" max="526" width="8.7109375" style="362" customWidth="1"/>
    <col min="527" max="527" width="10.42578125" style="362" customWidth="1"/>
    <col min="528" max="528" width="10.28515625" style="362" customWidth="1"/>
    <col min="529" max="768" width="11.42578125" style="362"/>
    <col min="769" max="769" width="7" style="362" customWidth="1"/>
    <col min="770" max="770" width="10.7109375" style="362" customWidth="1"/>
    <col min="771" max="771" width="10.5703125" style="362" customWidth="1"/>
    <col min="772" max="772" width="10.7109375" style="362" customWidth="1"/>
    <col min="773" max="773" width="10.28515625" style="362" customWidth="1"/>
    <col min="774" max="774" width="10.7109375" style="362" customWidth="1"/>
    <col min="775" max="775" width="9.42578125" style="362" customWidth="1"/>
    <col min="776" max="776" width="10.5703125" style="362" customWidth="1"/>
    <col min="777" max="777" width="13.7109375" style="362" customWidth="1"/>
    <col min="778" max="779" width="10.42578125" style="362" customWidth="1"/>
    <col min="780" max="780" width="10.28515625" style="362" customWidth="1"/>
    <col min="781" max="781" width="9.42578125" style="362" customWidth="1"/>
    <col min="782" max="782" width="8.7109375" style="362" customWidth="1"/>
    <col min="783" max="783" width="10.42578125" style="362" customWidth="1"/>
    <col min="784" max="784" width="10.28515625" style="362" customWidth="1"/>
    <col min="785" max="1024" width="11.42578125" style="362"/>
    <col min="1025" max="1025" width="7" style="362" customWidth="1"/>
    <col min="1026" max="1026" width="10.7109375" style="362" customWidth="1"/>
    <col min="1027" max="1027" width="10.5703125" style="362" customWidth="1"/>
    <col min="1028" max="1028" width="10.7109375" style="362" customWidth="1"/>
    <col min="1029" max="1029" width="10.28515625" style="362" customWidth="1"/>
    <col min="1030" max="1030" width="10.7109375" style="362" customWidth="1"/>
    <col min="1031" max="1031" width="9.42578125" style="362" customWidth="1"/>
    <col min="1032" max="1032" width="10.5703125" style="362" customWidth="1"/>
    <col min="1033" max="1033" width="13.7109375" style="362" customWidth="1"/>
    <col min="1034" max="1035" width="10.42578125" style="362" customWidth="1"/>
    <col min="1036" max="1036" width="10.28515625" style="362" customWidth="1"/>
    <col min="1037" max="1037" width="9.42578125" style="362" customWidth="1"/>
    <col min="1038" max="1038" width="8.7109375" style="362" customWidth="1"/>
    <col min="1039" max="1039" width="10.42578125" style="362" customWidth="1"/>
    <col min="1040" max="1040" width="10.28515625" style="362" customWidth="1"/>
    <col min="1041" max="1280" width="11.42578125" style="362"/>
    <col min="1281" max="1281" width="7" style="362" customWidth="1"/>
    <col min="1282" max="1282" width="10.7109375" style="362" customWidth="1"/>
    <col min="1283" max="1283" width="10.5703125" style="362" customWidth="1"/>
    <col min="1284" max="1284" width="10.7109375" style="362" customWidth="1"/>
    <col min="1285" max="1285" width="10.28515625" style="362" customWidth="1"/>
    <col min="1286" max="1286" width="10.7109375" style="362" customWidth="1"/>
    <col min="1287" max="1287" width="9.42578125" style="362" customWidth="1"/>
    <col min="1288" max="1288" width="10.5703125" style="362" customWidth="1"/>
    <col min="1289" max="1289" width="13.7109375" style="362" customWidth="1"/>
    <col min="1290" max="1291" width="10.42578125" style="362" customWidth="1"/>
    <col min="1292" max="1292" width="10.28515625" style="362" customWidth="1"/>
    <col min="1293" max="1293" width="9.42578125" style="362" customWidth="1"/>
    <col min="1294" max="1294" width="8.7109375" style="362" customWidth="1"/>
    <col min="1295" max="1295" width="10.42578125" style="362" customWidth="1"/>
    <col min="1296" max="1296" width="10.28515625" style="362" customWidth="1"/>
    <col min="1297" max="1536" width="11.42578125" style="362"/>
    <col min="1537" max="1537" width="7" style="362" customWidth="1"/>
    <col min="1538" max="1538" width="10.7109375" style="362" customWidth="1"/>
    <col min="1539" max="1539" width="10.5703125" style="362" customWidth="1"/>
    <col min="1540" max="1540" width="10.7109375" style="362" customWidth="1"/>
    <col min="1541" max="1541" width="10.28515625" style="362" customWidth="1"/>
    <col min="1542" max="1542" width="10.7109375" style="362" customWidth="1"/>
    <col min="1543" max="1543" width="9.42578125" style="362" customWidth="1"/>
    <col min="1544" max="1544" width="10.5703125" style="362" customWidth="1"/>
    <col min="1545" max="1545" width="13.7109375" style="362" customWidth="1"/>
    <col min="1546" max="1547" width="10.42578125" style="362" customWidth="1"/>
    <col min="1548" max="1548" width="10.28515625" style="362" customWidth="1"/>
    <col min="1549" max="1549" width="9.42578125" style="362" customWidth="1"/>
    <col min="1550" max="1550" width="8.7109375" style="362" customWidth="1"/>
    <col min="1551" max="1551" width="10.42578125" style="362" customWidth="1"/>
    <col min="1552" max="1552" width="10.28515625" style="362" customWidth="1"/>
    <col min="1553" max="1792" width="11.42578125" style="362"/>
    <col min="1793" max="1793" width="7" style="362" customWidth="1"/>
    <col min="1794" max="1794" width="10.7109375" style="362" customWidth="1"/>
    <col min="1795" max="1795" width="10.5703125" style="362" customWidth="1"/>
    <col min="1796" max="1796" width="10.7109375" style="362" customWidth="1"/>
    <col min="1797" max="1797" width="10.28515625" style="362" customWidth="1"/>
    <col min="1798" max="1798" width="10.7109375" style="362" customWidth="1"/>
    <col min="1799" max="1799" width="9.42578125" style="362" customWidth="1"/>
    <col min="1800" max="1800" width="10.5703125" style="362" customWidth="1"/>
    <col min="1801" max="1801" width="13.7109375" style="362" customWidth="1"/>
    <col min="1802" max="1803" width="10.42578125" style="362" customWidth="1"/>
    <col min="1804" max="1804" width="10.28515625" style="362" customWidth="1"/>
    <col min="1805" max="1805" width="9.42578125" style="362" customWidth="1"/>
    <col min="1806" max="1806" width="8.7109375" style="362" customWidth="1"/>
    <col min="1807" max="1807" width="10.42578125" style="362" customWidth="1"/>
    <col min="1808" max="1808" width="10.28515625" style="362" customWidth="1"/>
    <col min="1809" max="2048" width="11.42578125" style="362"/>
    <col min="2049" max="2049" width="7" style="362" customWidth="1"/>
    <col min="2050" max="2050" width="10.7109375" style="362" customWidth="1"/>
    <col min="2051" max="2051" width="10.5703125" style="362" customWidth="1"/>
    <col min="2052" max="2052" width="10.7109375" style="362" customWidth="1"/>
    <col min="2053" max="2053" width="10.28515625" style="362" customWidth="1"/>
    <col min="2054" max="2054" width="10.7109375" style="362" customWidth="1"/>
    <col min="2055" max="2055" width="9.42578125" style="362" customWidth="1"/>
    <col min="2056" max="2056" width="10.5703125" style="362" customWidth="1"/>
    <col min="2057" max="2057" width="13.7109375" style="362" customWidth="1"/>
    <col min="2058" max="2059" width="10.42578125" style="362" customWidth="1"/>
    <col min="2060" max="2060" width="10.28515625" style="362" customWidth="1"/>
    <col min="2061" max="2061" width="9.42578125" style="362" customWidth="1"/>
    <col min="2062" max="2062" width="8.7109375" style="362" customWidth="1"/>
    <col min="2063" max="2063" width="10.42578125" style="362" customWidth="1"/>
    <col min="2064" max="2064" width="10.28515625" style="362" customWidth="1"/>
    <col min="2065" max="2304" width="11.42578125" style="362"/>
    <col min="2305" max="2305" width="7" style="362" customWidth="1"/>
    <col min="2306" max="2306" width="10.7109375" style="362" customWidth="1"/>
    <col min="2307" max="2307" width="10.5703125" style="362" customWidth="1"/>
    <col min="2308" max="2308" width="10.7109375" style="362" customWidth="1"/>
    <col min="2309" max="2309" width="10.28515625" style="362" customWidth="1"/>
    <col min="2310" max="2310" width="10.7109375" style="362" customWidth="1"/>
    <col min="2311" max="2311" width="9.42578125" style="362" customWidth="1"/>
    <col min="2312" max="2312" width="10.5703125" style="362" customWidth="1"/>
    <col min="2313" max="2313" width="13.7109375" style="362" customWidth="1"/>
    <col min="2314" max="2315" width="10.42578125" style="362" customWidth="1"/>
    <col min="2316" max="2316" width="10.28515625" style="362" customWidth="1"/>
    <col min="2317" max="2317" width="9.42578125" style="362" customWidth="1"/>
    <col min="2318" max="2318" width="8.7109375" style="362" customWidth="1"/>
    <col min="2319" max="2319" width="10.42578125" style="362" customWidth="1"/>
    <col min="2320" max="2320" width="10.28515625" style="362" customWidth="1"/>
    <col min="2321" max="2560" width="11.42578125" style="362"/>
    <col min="2561" max="2561" width="7" style="362" customWidth="1"/>
    <col min="2562" max="2562" width="10.7109375" style="362" customWidth="1"/>
    <col min="2563" max="2563" width="10.5703125" style="362" customWidth="1"/>
    <col min="2564" max="2564" width="10.7109375" style="362" customWidth="1"/>
    <col min="2565" max="2565" width="10.28515625" style="362" customWidth="1"/>
    <col min="2566" max="2566" width="10.7109375" style="362" customWidth="1"/>
    <col min="2567" max="2567" width="9.42578125" style="362" customWidth="1"/>
    <col min="2568" max="2568" width="10.5703125" style="362" customWidth="1"/>
    <col min="2569" max="2569" width="13.7109375" style="362" customWidth="1"/>
    <col min="2570" max="2571" width="10.42578125" style="362" customWidth="1"/>
    <col min="2572" max="2572" width="10.28515625" style="362" customWidth="1"/>
    <col min="2573" max="2573" width="9.42578125" style="362" customWidth="1"/>
    <col min="2574" max="2574" width="8.7109375" style="362" customWidth="1"/>
    <col min="2575" max="2575" width="10.42578125" style="362" customWidth="1"/>
    <col min="2576" max="2576" width="10.28515625" style="362" customWidth="1"/>
    <col min="2577" max="2816" width="11.42578125" style="362"/>
    <col min="2817" max="2817" width="7" style="362" customWidth="1"/>
    <col min="2818" max="2818" width="10.7109375" style="362" customWidth="1"/>
    <col min="2819" max="2819" width="10.5703125" style="362" customWidth="1"/>
    <col min="2820" max="2820" width="10.7109375" style="362" customWidth="1"/>
    <col min="2821" max="2821" width="10.28515625" style="362" customWidth="1"/>
    <col min="2822" max="2822" width="10.7109375" style="362" customWidth="1"/>
    <col min="2823" max="2823" width="9.42578125" style="362" customWidth="1"/>
    <col min="2824" max="2824" width="10.5703125" style="362" customWidth="1"/>
    <col min="2825" max="2825" width="13.7109375" style="362" customWidth="1"/>
    <col min="2826" max="2827" width="10.42578125" style="362" customWidth="1"/>
    <col min="2828" max="2828" width="10.28515625" style="362" customWidth="1"/>
    <col min="2829" max="2829" width="9.42578125" style="362" customWidth="1"/>
    <col min="2830" max="2830" width="8.7109375" style="362" customWidth="1"/>
    <col min="2831" max="2831" width="10.42578125" style="362" customWidth="1"/>
    <col min="2832" max="2832" width="10.28515625" style="362" customWidth="1"/>
    <col min="2833" max="3072" width="11.42578125" style="362"/>
    <col min="3073" max="3073" width="7" style="362" customWidth="1"/>
    <col min="3074" max="3074" width="10.7109375" style="362" customWidth="1"/>
    <col min="3075" max="3075" width="10.5703125" style="362" customWidth="1"/>
    <col min="3076" max="3076" width="10.7109375" style="362" customWidth="1"/>
    <col min="3077" max="3077" width="10.28515625" style="362" customWidth="1"/>
    <col min="3078" max="3078" width="10.7109375" style="362" customWidth="1"/>
    <col min="3079" max="3079" width="9.42578125" style="362" customWidth="1"/>
    <col min="3080" max="3080" width="10.5703125" style="362" customWidth="1"/>
    <col min="3081" max="3081" width="13.7109375" style="362" customWidth="1"/>
    <col min="3082" max="3083" width="10.42578125" style="362" customWidth="1"/>
    <col min="3084" max="3084" width="10.28515625" style="362" customWidth="1"/>
    <col min="3085" max="3085" width="9.42578125" style="362" customWidth="1"/>
    <col min="3086" max="3086" width="8.7109375" style="362" customWidth="1"/>
    <col min="3087" max="3087" width="10.42578125" style="362" customWidth="1"/>
    <col min="3088" max="3088" width="10.28515625" style="362" customWidth="1"/>
    <col min="3089" max="3328" width="11.42578125" style="362"/>
    <col min="3329" max="3329" width="7" style="362" customWidth="1"/>
    <col min="3330" max="3330" width="10.7109375" style="362" customWidth="1"/>
    <col min="3331" max="3331" width="10.5703125" style="362" customWidth="1"/>
    <col min="3332" max="3332" width="10.7109375" style="362" customWidth="1"/>
    <col min="3333" max="3333" width="10.28515625" style="362" customWidth="1"/>
    <col min="3334" max="3334" width="10.7109375" style="362" customWidth="1"/>
    <col min="3335" max="3335" width="9.42578125" style="362" customWidth="1"/>
    <col min="3336" max="3336" width="10.5703125" style="362" customWidth="1"/>
    <col min="3337" max="3337" width="13.7109375" style="362" customWidth="1"/>
    <col min="3338" max="3339" width="10.42578125" style="362" customWidth="1"/>
    <col min="3340" max="3340" width="10.28515625" style="362" customWidth="1"/>
    <col min="3341" max="3341" width="9.42578125" style="362" customWidth="1"/>
    <col min="3342" max="3342" width="8.7109375" style="362" customWidth="1"/>
    <col min="3343" max="3343" width="10.42578125" style="362" customWidth="1"/>
    <col min="3344" max="3344" width="10.28515625" style="362" customWidth="1"/>
    <col min="3345" max="3584" width="11.42578125" style="362"/>
    <col min="3585" max="3585" width="7" style="362" customWidth="1"/>
    <col min="3586" max="3586" width="10.7109375" style="362" customWidth="1"/>
    <col min="3587" max="3587" width="10.5703125" style="362" customWidth="1"/>
    <col min="3588" max="3588" width="10.7109375" style="362" customWidth="1"/>
    <col min="3589" max="3589" width="10.28515625" style="362" customWidth="1"/>
    <col min="3590" max="3590" width="10.7109375" style="362" customWidth="1"/>
    <col min="3591" max="3591" width="9.42578125" style="362" customWidth="1"/>
    <col min="3592" max="3592" width="10.5703125" style="362" customWidth="1"/>
    <col min="3593" max="3593" width="13.7109375" style="362" customWidth="1"/>
    <col min="3594" max="3595" width="10.42578125" style="362" customWidth="1"/>
    <col min="3596" max="3596" width="10.28515625" style="362" customWidth="1"/>
    <col min="3597" max="3597" width="9.42578125" style="362" customWidth="1"/>
    <col min="3598" max="3598" width="8.7109375" style="362" customWidth="1"/>
    <col min="3599" max="3599" width="10.42578125" style="362" customWidth="1"/>
    <col min="3600" max="3600" width="10.28515625" style="362" customWidth="1"/>
    <col min="3601" max="3840" width="11.42578125" style="362"/>
    <col min="3841" max="3841" width="7" style="362" customWidth="1"/>
    <col min="3842" max="3842" width="10.7109375" style="362" customWidth="1"/>
    <col min="3843" max="3843" width="10.5703125" style="362" customWidth="1"/>
    <col min="3844" max="3844" width="10.7109375" style="362" customWidth="1"/>
    <col min="3845" max="3845" width="10.28515625" style="362" customWidth="1"/>
    <col min="3846" max="3846" width="10.7109375" style="362" customWidth="1"/>
    <col min="3847" max="3847" width="9.42578125" style="362" customWidth="1"/>
    <col min="3848" max="3848" width="10.5703125" style="362" customWidth="1"/>
    <col min="3849" max="3849" width="13.7109375" style="362" customWidth="1"/>
    <col min="3850" max="3851" width="10.42578125" style="362" customWidth="1"/>
    <col min="3852" max="3852" width="10.28515625" style="362" customWidth="1"/>
    <col min="3853" max="3853" width="9.42578125" style="362" customWidth="1"/>
    <col min="3854" max="3854" width="8.7109375" style="362" customWidth="1"/>
    <col min="3855" max="3855" width="10.42578125" style="362" customWidth="1"/>
    <col min="3856" max="3856" width="10.28515625" style="362" customWidth="1"/>
    <col min="3857" max="4096" width="11.42578125" style="362"/>
    <col min="4097" max="4097" width="7" style="362" customWidth="1"/>
    <col min="4098" max="4098" width="10.7109375" style="362" customWidth="1"/>
    <col min="4099" max="4099" width="10.5703125" style="362" customWidth="1"/>
    <col min="4100" max="4100" width="10.7109375" style="362" customWidth="1"/>
    <col min="4101" max="4101" width="10.28515625" style="362" customWidth="1"/>
    <col min="4102" max="4102" width="10.7109375" style="362" customWidth="1"/>
    <col min="4103" max="4103" width="9.42578125" style="362" customWidth="1"/>
    <col min="4104" max="4104" width="10.5703125" style="362" customWidth="1"/>
    <col min="4105" max="4105" width="13.7109375" style="362" customWidth="1"/>
    <col min="4106" max="4107" width="10.42578125" style="362" customWidth="1"/>
    <col min="4108" max="4108" width="10.28515625" style="362" customWidth="1"/>
    <col min="4109" max="4109" width="9.42578125" style="362" customWidth="1"/>
    <col min="4110" max="4110" width="8.7109375" style="362" customWidth="1"/>
    <col min="4111" max="4111" width="10.42578125" style="362" customWidth="1"/>
    <col min="4112" max="4112" width="10.28515625" style="362" customWidth="1"/>
    <col min="4113" max="4352" width="11.42578125" style="362"/>
    <col min="4353" max="4353" width="7" style="362" customWidth="1"/>
    <col min="4354" max="4354" width="10.7109375" style="362" customWidth="1"/>
    <col min="4355" max="4355" width="10.5703125" style="362" customWidth="1"/>
    <col min="4356" max="4356" width="10.7109375" style="362" customWidth="1"/>
    <col min="4357" max="4357" width="10.28515625" style="362" customWidth="1"/>
    <col min="4358" max="4358" width="10.7109375" style="362" customWidth="1"/>
    <col min="4359" max="4359" width="9.42578125" style="362" customWidth="1"/>
    <col min="4360" max="4360" width="10.5703125" style="362" customWidth="1"/>
    <col min="4361" max="4361" width="13.7109375" style="362" customWidth="1"/>
    <col min="4362" max="4363" width="10.42578125" style="362" customWidth="1"/>
    <col min="4364" max="4364" width="10.28515625" style="362" customWidth="1"/>
    <col min="4365" max="4365" width="9.42578125" style="362" customWidth="1"/>
    <col min="4366" max="4366" width="8.7109375" style="362" customWidth="1"/>
    <col min="4367" max="4367" width="10.42578125" style="362" customWidth="1"/>
    <col min="4368" max="4368" width="10.28515625" style="362" customWidth="1"/>
    <col min="4369" max="4608" width="11.42578125" style="362"/>
    <col min="4609" max="4609" width="7" style="362" customWidth="1"/>
    <col min="4610" max="4610" width="10.7109375" style="362" customWidth="1"/>
    <col min="4611" max="4611" width="10.5703125" style="362" customWidth="1"/>
    <col min="4612" max="4612" width="10.7109375" style="362" customWidth="1"/>
    <col min="4613" max="4613" width="10.28515625" style="362" customWidth="1"/>
    <col min="4614" max="4614" width="10.7109375" style="362" customWidth="1"/>
    <col min="4615" max="4615" width="9.42578125" style="362" customWidth="1"/>
    <col min="4616" max="4616" width="10.5703125" style="362" customWidth="1"/>
    <col min="4617" max="4617" width="13.7109375" style="362" customWidth="1"/>
    <col min="4618" max="4619" width="10.42578125" style="362" customWidth="1"/>
    <col min="4620" max="4620" width="10.28515625" style="362" customWidth="1"/>
    <col min="4621" max="4621" width="9.42578125" style="362" customWidth="1"/>
    <col min="4622" max="4622" width="8.7109375" style="362" customWidth="1"/>
    <col min="4623" max="4623" width="10.42578125" style="362" customWidth="1"/>
    <col min="4624" max="4624" width="10.28515625" style="362" customWidth="1"/>
    <col min="4625" max="4864" width="11.42578125" style="362"/>
    <col min="4865" max="4865" width="7" style="362" customWidth="1"/>
    <col min="4866" max="4866" width="10.7109375" style="362" customWidth="1"/>
    <col min="4867" max="4867" width="10.5703125" style="362" customWidth="1"/>
    <col min="4868" max="4868" width="10.7109375" style="362" customWidth="1"/>
    <col min="4869" max="4869" width="10.28515625" style="362" customWidth="1"/>
    <col min="4870" max="4870" width="10.7109375" style="362" customWidth="1"/>
    <col min="4871" max="4871" width="9.42578125" style="362" customWidth="1"/>
    <col min="4872" max="4872" width="10.5703125" style="362" customWidth="1"/>
    <col min="4873" max="4873" width="13.7109375" style="362" customWidth="1"/>
    <col min="4874" max="4875" width="10.42578125" style="362" customWidth="1"/>
    <col min="4876" max="4876" width="10.28515625" style="362" customWidth="1"/>
    <col min="4877" max="4877" width="9.42578125" style="362" customWidth="1"/>
    <col min="4878" max="4878" width="8.7109375" style="362" customWidth="1"/>
    <col min="4879" max="4879" width="10.42578125" style="362" customWidth="1"/>
    <col min="4880" max="4880" width="10.28515625" style="362" customWidth="1"/>
    <col min="4881" max="5120" width="11.42578125" style="362"/>
    <col min="5121" max="5121" width="7" style="362" customWidth="1"/>
    <col min="5122" max="5122" width="10.7109375" style="362" customWidth="1"/>
    <col min="5123" max="5123" width="10.5703125" style="362" customWidth="1"/>
    <col min="5124" max="5124" width="10.7109375" style="362" customWidth="1"/>
    <col min="5125" max="5125" width="10.28515625" style="362" customWidth="1"/>
    <col min="5126" max="5126" width="10.7109375" style="362" customWidth="1"/>
    <col min="5127" max="5127" width="9.42578125" style="362" customWidth="1"/>
    <col min="5128" max="5128" width="10.5703125" style="362" customWidth="1"/>
    <col min="5129" max="5129" width="13.7109375" style="362" customWidth="1"/>
    <col min="5130" max="5131" width="10.42578125" style="362" customWidth="1"/>
    <col min="5132" max="5132" width="10.28515625" style="362" customWidth="1"/>
    <col min="5133" max="5133" width="9.42578125" style="362" customWidth="1"/>
    <col min="5134" max="5134" width="8.7109375" style="362" customWidth="1"/>
    <col min="5135" max="5135" width="10.42578125" style="362" customWidth="1"/>
    <col min="5136" max="5136" width="10.28515625" style="362" customWidth="1"/>
    <col min="5137" max="5376" width="11.42578125" style="362"/>
    <col min="5377" max="5377" width="7" style="362" customWidth="1"/>
    <col min="5378" max="5378" width="10.7109375" style="362" customWidth="1"/>
    <col min="5379" max="5379" width="10.5703125" style="362" customWidth="1"/>
    <col min="5380" max="5380" width="10.7109375" style="362" customWidth="1"/>
    <col min="5381" max="5381" width="10.28515625" style="362" customWidth="1"/>
    <col min="5382" max="5382" width="10.7109375" style="362" customWidth="1"/>
    <col min="5383" max="5383" width="9.42578125" style="362" customWidth="1"/>
    <col min="5384" max="5384" width="10.5703125" style="362" customWidth="1"/>
    <col min="5385" max="5385" width="13.7109375" style="362" customWidth="1"/>
    <col min="5386" max="5387" width="10.42578125" style="362" customWidth="1"/>
    <col min="5388" max="5388" width="10.28515625" style="362" customWidth="1"/>
    <col min="5389" max="5389" width="9.42578125" style="362" customWidth="1"/>
    <col min="5390" max="5390" width="8.7109375" style="362" customWidth="1"/>
    <col min="5391" max="5391" width="10.42578125" style="362" customWidth="1"/>
    <col min="5392" max="5392" width="10.28515625" style="362" customWidth="1"/>
    <col min="5393" max="5632" width="11.42578125" style="362"/>
    <col min="5633" max="5633" width="7" style="362" customWidth="1"/>
    <col min="5634" max="5634" width="10.7109375" style="362" customWidth="1"/>
    <col min="5635" max="5635" width="10.5703125" style="362" customWidth="1"/>
    <col min="5636" max="5636" width="10.7109375" style="362" customWidth="1"/>
    <col min="5637" max="5637" width="10.28515625" style="362" customWidth="1"/>
    <col min="5638" max="5638" width="10.7109375" style="362" customWidth="1"/>
    <col min="5639" max="5639" width="9.42578125" style="362" customWidth="1"/>
    <col min="5640" max="5640" width="10.5703125" style="362" customWidth="1"/>
    <col min="5641" max="5641" width="13.7109375" style="362" customWidth="1"/>
    <col min="5642" max="5643" width="10.42578125" style="362" customWidth="1"/>
    <col min="5644" max="5644" width="10.28515625" style="362" customWidth="1"/>
    <col min="5645" max="5645" width="9.42578125" style="362" customWidth="1"/>
    <col min="5646" max="5646" width="8.7109375" style="362" customWidth="1"/>
    <col min="5647" max="5647" width="10.42578125" style="362" customWidth="1"/>
    <col min="5648" max="5648" width="10.28515625" style="362" customWidth="1"/>
    <col min="5649" max="5888" width="11.42578125" style="362"/>
    <col min="5889" max="5889" width="7" style="362" customWidth="1"/>
    <col min="5890" max="5890" width="10.7109375" style="362" customWidth="1"/>
    <col min="5891" max="5891" width="10.5703125" style="362" customWidth="1"/>
    <col min="5892" max="5892" width="10.7109375" style="362" customWidth="1"/>
    <col min="5893" max="5893" width="10.28515625" style="362" customWidth="1"/>
    <col min="5894" max="5894" width="10.7109375" style="362" customWidth="1"/>
    <col min="5895" max="5895" width="9.42578125" style="362" customWidth="1"/>
    <col min="5896" max="5896" width="10.5703125" style="362" customWidth="1"/>
    <col min="5897" max="5897" width="13.7109375" style="362" customWidth="1"/>
    <col min="5898" max="5899" width="10.42578125" style="362" customWidth="1"/>
    <col min="5900" max="5900" width="10.28515625" style="362" customWidth="1"/>
    <col min="5901" max="5901" width="9.42578125" style="362" customWidth="1"/>
    <col min="5902" max="5902" width="8.7109375" style="362" customWidth="1"/>
    <col min="5903" max="5903" width="10.42578125" style="362" customWidth="1"/>
    <col min="5904" max="5904" width="10.28515625" style="362" customWidth="1"/>
    <col min="5905" max="6144" width="11.42578125" style="362"/>
    <col min="6145" max="6145" width="7" style="362" customWidth="1"/>
    <col min="6146" max="6146" width="10.7109375" style="362" customWidth="1"/>
    <col min="6147" max="6147" width="10.5703125" style="362" customWidth="1"/>
    <col min="6148" max="6148" width="10.7109375" style="362" customWidth="1"/>
    <col min="6149" max="6149" width="10.28515625" style="362" customWidth="1"/>
    <col min="6150" max="6150" width="10.7109375" style="362" customWidth="1"/>
    <col min="6151" max="6151" width="9.42578125" style="362" customWidth="1"/>
    <col min="6152" max="6152" width="10.5703125" style="362" customWidth="1"/>
    <col min="6153" max="6153" width="13.7109375" style="362" customWidth="1"/>
    <col min="6154" max="6155" width="10.42578125" style="362" customWidth="1"/>
    <col min="6156" max="6156" width="10.28515625" style="362" customWidth="1"/>
    <col min="6157" max="6157" width="9.42578125" style="362" customWidth="1"/>
    <col min="6158" max="6158" width="8.7109375" style="362" customWidth="1"/>
    <col min="6159" max="6159" width="10.42578125" style="362" customWidth="1"/>
    <col min="6160" max="6160" width="10.28515625" style="362" customWidth="1"/>
    <col min="6161" max="6400" width="11.42578125" style="362"/>
    <col min="6401" max="6401" width="7" style="362" customWidth="1"/>
    <col min="6402" max="6402" width="10.7109375" style="362" customWidth="1"/>
    <col min="6403" max="6403" width="10.5703125" style="362" customWidth="1"/>
    <col min="6404" max="6404" width="10.7109375" style="362" customWidth="1"/>
    <col min="6405" max="6405" width="10.28515625" style="362" customWidth="1"/>
    <col min="6406" max="6406" width="10.7109375" style="362" customWidth="1"/>
    <col min="6407" max="6407" width="9.42578125" style="362" customWidth="1"/>
    <col min="6408" max="6408" width="10.5703125" style="362" customWidth="1"/>
    <col min="6409" max="6409" width="13.7109375" style="362" customWidth="1"/>
    <col min="6410" max="6411" width="10.42578125" style="362" customWidth="1"/>
    <col min="6412" max="6412" width="10.28515625" style="362" customWidth="1"/>
    <col min="6413" max="6413" width="9.42578125" style="362" customWidth="1"/>
    <col min="6414" max="6414" width="8.7109375" style="362" customWidth="1"/>
    <col min="6415" max="6415" width="10.42578125" style="362" customWidth="1"/>
    <col min="6416" max="6416" width="10.28515625" style="362" customWidth="1"/>
    <col min="6417" max="6656" width="11.42578125" style="362"/>
    <col min="6657" max="6657" width="7" style="362" customWidth="1"/>
    <col min="6658" max="6658" width="10.7109375" style="362" customWidth="1"/>
    <col min="6659" max="6659" width="10.5703125" style="362" customWidth="1"/>
    <col min="6660" max="6660" width="10.7109375" style="362" customWidth="1"/>
    <col min="6661" max="6661" width="10.28515625" style="362" customWidth="1"/>
    <col min="6662" max="6662" width="10.7109375" style="362" customWidth="1"/>
    <col min="6663" max="6663" width="9.42578125" style="362" customWidth="1"/>
    <col min="6664" max="6664" width="10.5703125" style="362" customWidth="1"/>
    <col min="6665" max="6665" width="13.7109375" style="362" customWidth="1"/>
    <col min="6666" max="6667" width="10.42578125" style="362" customWidth="1"/>
    <col min="6668" max="6668" width="10.28515625" style="362" customWidth="1"/>
    <col min="6669" max="6669" width="9.42578125" style="362" customWidth="1"/>
    <col min="6670" max="6670" width="8.7109375" style="362" customWidth="1"/>
    <col min="6671" max="6671" width="10.42578125" style="362" customWidth="1"/>
    <col min="6672" max="6672" width="10.28515625" style="362" customWidth="1"/>
    <col min="6673" max="6912" width="11.42578125" style="362"/>
    <col min="6913" max="6913" width="7" style="362" customWidth="1"/>
    <col min="6914" max="6914" width="10.7109375" style="362" customWidth="1"/>
    <col min="6915" max="6915" width="10.5703125" style="362" customWidth="1"/>
    <col min="6916" max="6916" width="10.7109375" style="362" customWidth="1"/>
    <col min="6917" max="6917" width="10.28515625" style="362" customWidth="1"/>
    <col min="6918" max="6918" width="10.7109375" style="362" customWidth="1"/>
    <col min="6919" max="6919" width="9.42578125" style="362" customWidth="1"/>
    <col min="6920" max="6920" width="10.5703125" style="362" customWidth="1"/>
    <col min="6921" max="6921" width="13.7109375" style="362" customWidth="1"/>
    <col min="6922" max="6923" width="10.42578125" style="362" customWidth="1"/>
    <col min="6924" max="6924" width="10.28515625" style="362" customWidth="1"/>
    <col min="6925" max="6925" width="9.42578125" style="362" customWidth="1"/>
    <col min="6926" max="6926" width="8.7109375" style="362" customWidth="1"/>
    <col min="6927" max="6927" width="10.42578125" style="362" customWidth="1"/>
    <col min="6928" max="6928" width="10.28515625" style="362" customWidth="1"/>
    <col min="6929" max="7168" width="11.42578125" style="362"/>
    <col min="7169" max="7169" width="7" style="362" customWidth="1"/>
    <col min="7170" max="7170" width="10.7109375" style="362" customWidth="1"/>
    <col min="7171" max="7171" width="10.5703125" style="362" customWidth="1"/>
    <col min="7172" max="7172" width="10.7109375" style="362" customWidth="1"/>
    <col min="7173" max="7173" width="10.28515625" style="362" customWidth="1"/>
    <col min="7174" max="7174" width="10.7109375" style="362" customWidth="1"/>
    <col min="7175" max="7175" width="9.42578125" style="362" customWidth="1"/>
    <col min="7176" max="7176" width="10.5703125" style="362" customWidth="1"/>
    <col min="7177" max="7177" width="13.7109375" style="362" customWidth="1"/>
    <col min="7178" max="7179" width="10.42578125" style="362" customWidth="1"/>
    <col min="7180" max="7180" width="10.28515625" style="362" customWidth="1"/>
    <col min="7181" max="7181" width="9.42578125" style="362" customWidth="1"/>
    <col min="7182" max="7182" width="8.7109375" style="362" customWidth="1"/>
    <col min="7183" max="7183" width="10.42578125" style="362" customWidth="1"/>
    <col min="7184" max="7184" width="10.28515625" style="362" customWidth="1"/>
    <col min="7185" max="7424" width="11.42578125" style="362"/>
    <col min="7425" max="7425" width="7" style="362" customWidth="1"/>
    <col min="7426" max="7426" width="10.7109375" style="362" customWidth="1"/>
    <col min="7427" max="7427" width="10.5703125" style="362" customWidth="1"/>
    <col min="7428" max="7428" width="10.7109375" style="362" customWidth="1"/>
    <col min="7429" max="7429" width="10.28515625" style="362" customWidth="1"/>
    <col min="7430" max="7430" width="10.7109375" style="362" customWidth="1"/>
    <col min="7431" max="7431" width="9.42578125" style="362" customWidth="1"/>
    <col min="7432" max="7432" width="10.5703125" style="362" customWidth="1"/>
    <col min="7433" max="7433" width="13.7109375" style="362" customWidth="1"/>
    <col min="7434" max="7435" width="10.42578125" style="362" customWidth="1"/>
    <col min="7436" max="7436" width="10.28515625" style="362" customWidth="1"/>
    <col min="7437" max="7437" width="9.42578125" style="362" customWidth="1"/>
    <col min="7438" max="7438" width="8.7109375" style="362" customWidth="1"/>
    <col min="7439" max="7439" width="10.42578125" style="362" customWidth="1"/>
    <col min="7440" max="7440" width="10.28515625" style="362" customWidth="1"/>
    <col min="7441" max="7680" width="11.42578125" style="362"/>
    <col min="7681" max="7681" width="7" style="362" customWidth="1"/>
    <col min="7682" max="7682" width="10.7109375" style="362" customWidth="1"/>
    <col min="7683" max="7683" width="10.5703125" style="362" customWidth="1"/>
    <col min="7684" max="7684" width="10.7109375" style="362" customWidth="1"/>
    <col min="7685" max="7685" width="10.28515625" style="362" customWidth="1"/>
    <col min="7686" max="7686" width="10.7109375" style="362" customWidth="1"/>
    <col min="7687" max="7687" width="9.42578125" style="362" customWidth="1"/>
    <col min="7688" max="7688" width="10.5703125" style="362" customWidth="1"/>
    <col min="7689" max="7689" width="13.7109375" style="362" customWidth="1"/>
    <col min="7690" max="7691" width="10.42578125" style="362" customWidth="1"/>
    <col min="7692" max="7692" width="10.28515625" style="362" customWidth="1"/>
    <col min="7693" max="7693" width="9.42578125" style="362" customWidth="1"/>
    <col min="7694" max="7694" width="8.7109375" style="362" customWidth="1"/>
    <col min="7695" max="7695" width="10.42578125" style="362" customWidth="1"/>
    <col min="7696" max="7696" width="10.28515625" style="362" customWidth="1"/>
    <col min="7697" max="7936" width="11.42578125" style="362"/>
    <col min="7937" max="7937" width="7" style="362" customWidth="1"/>
    <col min="7938" max="7938" width="10.7109375" style="362" customWidth="1"/>
    <col min="7939" max="7939" width="10.5703125" style="362" customWidth="1"/>
    <col min="7940" max="7940" width="10.7109375" style="362" customWidth="1"/>
    <col min="7941" max="7941" width="10.28515625" style="362" customWidth="1"/>
    <col min="7942" max="7942" width="10.7109375" style="362" customWidth="1"/>
    <col min="7943" max="7943" width="9.42578125" style="362" customWidth="1"/>
    <col min="7944" max="7944" width="10.5703125" style="362" customWidth="1"/>
    <col min="7945" max="7945" width="13.7109375" style="362" customWidth="1"/>
    <col min="7946" max="7947" width="10.42578125" style="362" customWidth="1"/>
    <col min="7948" max="7948" width="10.28515625" style="362" customWidth="1"/>
    <col min="7949" max="7949" width="9.42578125" style="362" customWidth="1"/>
    <col min="7950" max="7950" width="8.7109375" style="362" customWidth="1"/>
    <col min="7951" max="7951" width="10.42578125" style="362" customWidth="1"/>
    <col min="7952" max="7952" width="10.28515625" style="362" customWidth="1"/>
    <col min="7953" max="8192" width="11.42578125" style="362"/>
    <col min="8193" max="8193" width="7" style="362" customWidth="1"/>
    <col min="8194" max="8194" width="10.7109375" style="362" customWidth="1"/>
    <col min="8195" max="8195" width="10.5703125" style="362" customWidth="1"/>
    <col min="8196" max="8196" width="10.7109375" style="362" customWidth="1"/>
    <col min="8197" max="8197" width="10.28515625" style="362" customWidth="1"/>
    <col min="8198" max="8198" width="10.7109375" style="362" customWidth="1"/>
    <col min="8199" max="8199" width="9.42578125" style="362" customWidth="1"/>
    <col min="8200" max="8200" width="10.5703125" style="362" customWidth="1"/>
    <col min="8201" max="8201" width="13.7109375" style="362" customWidth="1"/>
    <col min="8202" max="8203" width="10.42578125" style="362" customWidth="1"/>
    <col min="8204" max="8204" width="10.28515625" style="362" customWidth="1"/>
    <col min="8205" max="8205" width="9.42578125" style="362" customWidth="1"/>
    <col min="8206" max="8206" width="8.7109375" style="362" customWidth="1"/>
    <col min="8207" max="8207" width="10.42578125" style="362" customWidth="1"/>
    <col min="8208" max="8208" width="10.28515625" style="362" customWidth="1"/>
    <col min="8209" max="8448" width="11.42578125" style="362"/>
    <col min="8449" max="8449" width="7" style="362" customWidth="1"/>
    <col min="8450" max="8450" width="10.7109375" style="362" customWidth="1"/>
    <col min="8451" max="8451" width="10.5703125" style="362" customWidth="1"/>
    <col min="8452" max="8452" width="10.7109375" style="362" customWidth="1"/>
    <col min="8453" max="8453" width="10.28515625" style="362" customWidth="1"/>
    <col min="8454" max="8454" width="10.7109375" style="362" customWidth="1"/>
    <col min="8455" max="8455" width="9.42578125" style="362" customWidth="1"/>
    <col min="8456" max="8456" width="10.5703125" style="362" customWidth="1"/>
    <col min="8457" max="8457" width="13.7109375" style="362" customWidth="1"/>
    <col min="8458" max="8459" width="10.42578125" style="362" customWidth="1"/>
    <col min="8460" max="8460" width="10.28515625" style="362" customWidth="1"/>
    <col min="8461" max="8461" width="9.42578125" style="362" customWidth="1"/>
    <col min="8462" max="8462" width="8.7109375" style="362" customWidth="1"/>
    <col min="8463" max="8463" width="10.42578125" style="362" customWidth="1"/>
    <col min="8464" max="8464" width="10.28515625" style="362" customWidth="1"/>
    <col min="8465" max="8704" width="11.42578125" style="362"/>
    <col min="8705" max="8705" width="7" style="362" customWidth="1"/>
    <col min="8706" max="8706" width="10.7109375" style="362" customWidth="1"/>
    <col min="8707" max="8707" width="10.5703125" style="362" customWidth="1"/>
    <col min="8708" max="8708" width="10.7109375" style="362" customWidth="1"/>
    <col min="8709" max="8709" width="10.28515625" style="362" customWidth="1"/>
    <col min="8710" max="8710" width="10.7109375" style="362" customWidth="1"/>
    <col min="8711" max="8711" width="9.42578125" style="362" customWidth="1"/>
    <col min="8712" max="8712" width="10.5703125" style="362" customWidth="1"/>
    <col min="8713" max="8713" width="13.7109375" style="362" customWidth="1"/>
    <col min="8714" max="8715" width="10.42578125" style="362" customWidth="1"/>
    <col min="8716" max="8716" width="10.28515625" style="362" customWidth="1"/>
    <col min="8717" max="8717" width="9.42578125" style="362" customWidth="1"/>
    <col min="8718" max="8718" width="8.7109375" style="362" customWidth="1"/>
    <col min="8719" max="8719" width="10.42578125" style="362" customWidth="1"/>
    <col min="8720" max="8720" width="10.28515625" style="362" customWidth="1"/>
    <col min="8721" max="8960" width="11.42578125" style="362"/>
    <col min="8961" max="8961" width="7" style="362" customWidth="1"/>
    <col min="8962" max="8962" width="10.7109375" style="362" customWidth="1"/>
    <col min="8963" max="8963" width="10.5703125" style="362" customWidth="1"/>
    <col min="8964" max="8964" width="10.7109375" style="362" customWidth="1"/>
    <col min="8965" max="8965" width="10.28515625" style="362" customWidth="1"/>
    <col min="8966" max="8966" width="10.7109375" style="362" customWidth="1"/>
    <col min="8967" max="8967" width="9.42578125" style="362" customWidth="1"/>
    <col min="8968" max="8968" width="10.5703125" style="362" customWidth="1"/>
    <col min="8969" max="8969" width="13.7109375" style="362" customWidth="1"/>
    <col min="8970" max="8971" width="10.42578125" style="362" customWidth="1"/>
    <col min="8972" max="8972" width="10.28515625" style="362" customWidth="1"/>
    <col min="8973" max="8973" width="9.42578125" style="362" customWidth="1"/>
    <col min="8974" max="8974" width="8.7109375" style="362" customWidth="1"/>
    <col min="8975" max="8975" width="10.42578125" style="362" customWidth="1"/>
    <col min="8976" max="8976" width="10.28515625" style="362" customWidth="1"/>
    <col min="8977" max="9216" width="11.42578125" style="362"/>
    <col min="9217" max="9217" width="7" style="362" customWidth="1"/>
    <col min="9218" max="9218" width="10.7109375" style="362" customWidth="1"/>
    <col min="9219" max="9219" width="10.5703125" style="362" customWidth="1"/>
    <col min="9220" max="9220" width="10.7109375" style="362" customWidth="1"/>
    <col min="9221" max="9221" width="10.28515625" style="362" customWidth="1"/>
    <col min="9222" max="9222" width="10.7109375" style="362" customWidth="1"/>
    <col min="9223" max="9223" width="9.42578125" style="362" customWidth="1"/>
    <col min="9224" max="9224" width="10.5703125" style="362" customWidth="1"/>
    <col min="9225" max="9225" width="13.7109375" style="362" customWidth="1"/>
    <col min="9226" max="9227" width="10.42578125" style="362" customWidth="1"/>
    <col min="9228" max="9228" width="10.28515625" style="362" customWidth="1"/>
    <col min="9229" max="9229" width="9.42578125" style="362" customWidth="1"/>
    <col min="9230" max="9230" width="8.7109375" style="362" customWidth="1"/>
    <col min="9231" max="9231" width="10.42578125" style="362" customWidth="1"/>
    <col min="9232" max="9232" width="10.28515625" style="362" customWidth="1"/>
    <col min="9233" max="9472" width="11.42578125" style="362"/>
    <col min="9473" max="9473" width="7" style="362" customWidth="1"/>
    <col min="9474" max="9474" width="10.7109375" style="362" customWidth="1"/>
    <col min="9475" max="9475" width="10.5703125" style="362" customWidth="1"/>
    <col min="9476" max="9476" width="10.7109375" style="362" customWidth="1"/>
    <col min="9477" max="9477" width="10.28515625" style="362" customWidth="1"/>
    <col min="9478" max="9478" width="10.7109375" style="362" customWidth="1"/>
    <col min="9479" max="9479" width="9.42578125" style="362" customWidth="1"/>
    <col min="9480" max="9480" width="10.5703125" style="362" customWidth="1"/>
    <col min="9481" max="9481" width="13.7109375" style="362" customWidth="1"/>
    <col min="9482" max="9483" width="10.42578125" style="362" customWidth="1"/>
    <col min="9484" max="9484" width="10.28515625" style="362" customWidth="1"/>
    <col min="9485" max="9485" width="9.42578125" style="362" customWidth="1"/>
    <col min="9486" max="9486" width="8.7109375" style="362" customWidth="1"/>
    <col min="9487" max="9487" width="10.42578125" style="362" customWidth="1"/>
    <col min="9488" max="9488" width="10.28515625" style="362" customWidth="1"/>
    <col min="9489" max="9728" width="11.42578125" style="362"/>
    <col min="9729" max="9729" width="7" style="362" customWidth="1"/>
    <col min="9730" max="9730" width="10.7109375" style="362" customWidth="1"/>
    <col min="9731" max="9731" width="10.5703125" style="362" customWidth="1"/>
    <col min="9732" max="9732" width="10.7109375" style="362" customWidth="1"/>
    <col min="9733" max="9733" width="10.28515625" style="362" customWidth="1"/>
    <col min="9734" max="9734" width="10.7109375" style="362" customWidth="1"/>
    <col min="9735" max="9735" width="9.42578125" style="362" customWidth="1"/>
    <col min="9736" max="9736" width="10.5703125" style="362" customWidth="1"/>
    <col min="9737" max="9737" width="13.7109375" style="362" customWidth="1"/>
    <col min="9738" max="9739" width="10.42578125" style="362" customWidth="1"/>
    <col min="9740" max="9740" width="10.28515625" style="362" customWidth="1"/>
    <col min="9741" max="9741" width="9.42578125" style="362" customWidth="1"/>
    <col min="9742" max="9742" width="8.7109375" style="362" customWidth="1"/>
    <col min="9743" max="9743" width="10.42578125" style="362" customWidth="1"/>
    <col min="9744" max="9744" width="10.28515625" style="362" customWidth="1"/>
    <col min="9745" max="9984" width="11.42578125" style="362"/>
    <col min="9985" max="9985" width="7" style="362" customWidth="1"/>
    <col min="9986" max="9986" width="10.7109375" style="362" customWidth="1"/>
    <col min="9987" max="9987" width="10.5703125" style="362" customWidth="1"/>
    <col min="9988" max="9988" width="10.7109375" style="362" customWidth="1"/>
    <col min="9989" max="9989" width="10.28515625" style="362" customWidth="1"/>
    <col min="9990" max="9990" width="10.7109375" style="362" customWidth="1"/>
    <col min="9991" max="9991" width="9.42578125" style="362" customWidth="1"/>
    <col min="9992" max="9992" width="10.5703125" style="362" customWidth="1"/>
    <col min="9993" max="9993" width="13.7109375" style="362" customWidth="1"/>
    <col min="9994" max="9995" width="10.42578125" style="362" customWidth="1"/>
    <col min="9996" max="9996" width="10.28515625" style="362" customWidth="1"/>
    <col min="9997" max="9997" width="9.42578125" style="362" customWidth="1"/>
    <col min="9998" max="9998" width="8.7109375" style="362" customWidth="1"/>
    <col min="9999" max="9999" width="10.42578125" style="362" customWidth="1"/>
    <col min="10000" max="10000" width="10.28515625" style="362" customWidth="1"/>
    <col min="10001" max="10240" width="11.42578125" style="362"/>
    <col min="10241" max="10241" width="7" style="362" customWidth="1"/>
    <col min="10242" max="10242" width="10.7109375" style="362" customWidth="1"/>
    <col min="10243" max="10243" width="10.5703125" style="362" customWidth="1"/>
    <col min="10244" max="10244" width="10.7109375" style="362" customWidth="1"/>
    <col min="10245" max="10245" width="10.28515625" style="362" customWidth="1"/>
    <col min="10246" max="10246" width="10.7109375" style="362" customWidth="1"/>
    <col min="10247" max="10247" width="9.42578125" style="362" customWidth="1"/>
    <col min="10248" max="10248" width="10.5703125" style="362" customWidth="1"/>
    <col min="10249" max="10249" width="13.7109375" style="362" customWidth="1"/>
    <col min="10250" max="10251" width="10.42578125" style="362" customWidth="1"/>
    <col min="10252" max="10252" width="10.28515625" style="362" customWidth="1"/>
    <col min="10253" max="10253" width="9.42578125" style="362" customWidth="1"/>
    <col min="10254" max="10254" width="8.7109375" style="362" customWidth="1"/>
    <col min="10255" max="10255" width="10.42578125" style="362" customWidth="1"/>
    <col min="10256" max="10256" width="10.28515625" style="362" customWidth="1"/>
    <col min="10257" max="10496" width="11.42578125" style="362"/>
    <col min="10497" max="10497" width="7" style="362" customWidth="1"/>
    <col min="10498" max="10498" width="10.7109375" style="362" customWidth="1"/>
    <col min="10499" max="10499" width="10.5703125" style="362" customWidth="1"/>
    <col min="10500" max="10500" width="10.7109375" style="362" customWidth="1"/>
    <col min="10501" max="10501" width="10.28515625" style="362" customWidth="1"/>
    <col min="10502" max="10502" width="10.7109375" style="362" customWidth="1"/>
    <col min="10503" max="10503" width="9.42578125" style="362" customWidth="1"/>
    <col min="10504" max="10504" width="10.5703125" style="362" customWidth="1"/>
    <col min="10505" max="10505" width="13.7109375" style="362" customWidth="1"/>
    <col min="10506" max="10507" width="10.42578125" style="362" customWidth="1"/>
    <col min="10508" max="10508" width="10.28515625" style="362" customWidth="1"/>
    <col min="10509" max="10509" width="9.42578125" style="362" customWidth="1"/>
    <col min="10510" max="10510" width="8.7109375" style="362" customWidth="1"/>
    <col min="10511" max="10511" width="10.42578125" style="362" customWidth="1"/>
    <col min="10512" max="10512" width="10.28515625" style="362" customWidth="1"/>
    <col min="10513" max="10752" width="11.42578125" style="362"/>
    <col min="10753" max="10753" width="7" style="362" customWidth="1"/>
    <col min="10754" max="10754" width="10.7109375" style="362" customWidth="1"/>
    <col min="10755" max="10755" width="10.5703125" style="362" customWidth="1"/>
    <col min="10756" max="10756" width="10.7109375" style="362" customWidth="1"/>
    <col min="10757" max="10757" width="10.28515625" style="362" customWidth="1"/>
    <col min="10758" max="10758" width="10.7109375" style="362" customWidth="1"/>
    <col min="10759" max="10759" width="9.42578125" style="362" customWidth="1"/>
    <col min="10760" max="10760" width="10.5703125" style="362" customWidth="1"/>
    <col min="10761" max="10761" width="13.7109375" style="362" customWidth="1"/>
    <col min="10762" max="10763" width="10.42578125" style="362" customWidth="1"/>
    <col min="10764" max="10764" width="10.28515625" style="362" customWidth="1"/>
    <col min="10765" max="10765" width="9.42578125" style="362" customWidth="1"/>
    <col min="10766" max="10766" width="8.7109375" style="362" customWidth="1"/>
    <col min="10767" max="10767" width="10.42578125" style="362" customWidth="1"/>
    <col min="10768" max="10768" width="10.28515625" style="362" customWidth="1"/>
    <col min="10769" max="11008" width="11.42578125" style="362"/>
    <col min="11009" max="11009" width="7" style="362" customWidth="1"/>
    <col min="11010" max="11010" width="10.7109375" style="362" customWidth="1"/>
    <col min="11011" max="11011" width="10.5703125" style="362" customWidth="1"/>
    <col min="11012" max="11012" width="10.7109375" style="362" customWidth="1"/>
    <col min="11013" max="11013" width="10.28515625" style="362" customWidth="1"/>
    <col min="11014" max="11014" width="10.7109375" style="362" customWidth="1"/>
    <col min="11015" max="11015" width="9.42578125" style="362" customWidth="1"/>
    <col min="11016" max="11016" width="10.5703125" style="362" customWidth="1"/>
    <col min="11017" max="11017" width="13.7109375" style="362" customWidth="1"/>
    <col min="11018" max="11019" width="10.42578125" style="362" customWidth="1"/>
    <col min="11020" max="11020" width="10.28515625" style="362" customWidth="1"/>
    <col min="11021" max="11021" width="9.42578125" style="362" customWidth="1"/>
    <col min="11022" max="11022" width="8.7109375" style="362" customWidth="1"/>
    <col min="11023" max="11023" width="10.42578125" style="362" customWidth="1"/>
    <col min="11024" max="11024" width="10.28515625" style="362" customWidth="1"/>
    <col min="11025" max="11264" width="11.42578125" style="362"/>
    <col min="11265" max="11265" width="7" style="362" customWidth="1"/>
    <col min="11266" max="11266" width="10.7109375" style="362" customWidth="1"/>
    <col min="11267" max="11267" width="10.5703125" style="362" customWidth="1"/>
    <col min="11268" max="11268" width="10.7109375" style="362" customWidth="1"/>
    <col min="11269" max="11269" width="10.28515625" style="362" customWidth="1"/>
    <col min="11270" max="11270" width="10.7109375" style="362" customWidth="1"/>
    <col min="11271" max="11271" width="9.42578125" style="362" customWidth="1"/>
    <col min="11272" max="11272" width="10.5703125" style="362" customWidth="1"/>
    <col min="11273" max="11273" width="13.7109375" style="362" customWidth="1"/>
    <col min="11274" max="11275" width="10.42578125" style="362" customWidth="1"/>
    <col min="11276" max="11276" width="10.28515625" style="362" customWidth="1"/>
    <col min="11277" max="11277" width="9.42578125" style="362" customWidth="1"/>
    <col min="11278" max="11278" width="8.7109375" style="362" customWidth="1"/>
    <col min="11279" max="11279" width="10.42578125" style="362" customWidth="1"/>
    <col min="11280" max="11280" width="10.28515625" style="362" customWidth="1"/>
    <col min="11281" max="11520" width="11.42578125" style="362"/>
    <col min="11521" max="11521" width="7" style="362" customWidth="1"/>
    <col min="11522" max="11522" width="10.7109375" style="362" customWidth="1"/>
    <col min="11523" max="11523" width="10.5703125" style="362" customWidth="1"/>
    <col min="11524" max="11524" width="10.7109375" style="362" customWidth="1"/>
    <col min="11525" max="11525" width="10.28515625" style="362" customWidth="1"/>
    <col min="11526" max="11526" width="10.7109375" style="362" customWidth="1"/>
    <col min="11527" max="11527" width="9.42578125" style="362" customWidth="1"/>
    <col min="11528" max="11528" width="10.5703125" style="362" customWidth="1"/>
    <col min="11529" max="11529" width="13.7109375" style="362" customWidth="1"/>
    <col min="11530" max="11531" width="10.42578125" style="362" customWidth="1"/>
    <col min="11532" max="11532" width="10.28515625" style="362" customWidth="1"/>
    <col min="11533" max="11533" width="9.42578125" style="362" customWidth="1"/>
    <col min="11534" max="11534" width="8.7109375" style="362" customWidth="1"/>
    <col min="11535" max="11535" width="10.42578125" style="362" customWidth="1"/>
    <col min="11536" max="11536" width="10.28515625" style="362" customWidth="1"/>
    <col min="11537" max="11776" width="11.42578125" style="362"/>
    <col min="11777" max="11777" width="7" style="362" customWidth="1"/>
    <col min="11778" max="11778" width="10.7109375" style="362" customWidth="1"/>
    <col min="11779" max="11779" width="10.5703125" style="362" customWidth="1"/>
    <col min="11780" max="11780" width="10.7109375" style="362" customWidth="1"/>
    <col min="11781" max="11781" width="10.28515625" style="362" customWidth="1"/>
    <col min="11782" max="11782" width="10.7109375" style="362" customWidth="1"/>
    <col min="11783" max="11783" width="9.42578125" style="362" customWidth="1"/>
    <col min="11784" max="11784" width="10.5703125" style="362" customWidth="1"/>
    <col min="11785" max="11785" width="13.7109375" style="362" customWidth="1"/>
    <col min="11786" max="11787" width="10.42578125" style="362" customWidth="1"/>
    <col min="11788" max="11788" width="10.28515625" style="362" customWidth="1"/>
    <col min="11789" max="11789" width="9.42578125" style="362" customWidth="1"/>
    <col min="11790" max="11790" width="8.7109375" style="362" customWidth="1"/>
    <col min="11791" max="11791" width="10.42578125" style="362" customWidth="1"/>
    <col min="11792" max="11792" width="10.28515625" style="362" customWidth="1"/>
    <col min="11793" max="12032" width="11.42578125" style="362"/>
    <col min="12033" max="12033" width="7" style="362" customWidth="1"/>
    <col min="12034" max="12034" width="10.7109375" style="362" customWidth="1"/>
    <col min="12035" max="12035" width="10.5703125" style="362" customWidth="1"/>
    <col min="12036" max="12036" width="10.7109375" style="362" customWidth="1"/>
    <col min="12037" max="12037" width="10.28515625" style="362" customWidth="1"/>
    <col min="12038" max="12038" width="10.7109375" style="362" customWidth="1"/>
    <col min="12039" max="12039" width="9.42578125" style="362" customWidth="1"/>
    <col min="12040" max="12040" width="10.5703125" style="362" customWidth="1"/>
    <col min="12041" max="12041" width="13.7109375" style="362" customWidth="1"/>
    <col min="12042" max="12043" width="10.42578125" style="362" customWidth="1"/>
    <col min="12044" max="12044" width="10.28515625" style="362" customWidth="1"/>
    <col min="12045" max="12045" width="9.42578125" style="362" customWidth="1"/>
    <col min="12046" max="12046" width="8.7109375" style="362" customWidth="1"/>
    <col min="12047" max="12047" width="10.42578125" style="362" customWidth="1"/>
    <col min="12048" max="12048" width="10.28515625" style="362" customWidth="1"/>
    <col min="12049" max="12288" width="11.42578125" style="362"/>
    <col min="12289" max="12289" width="7" style="362" customWidth="1"/>
    <col min="12290" max="12290" width="10.7109375" style="362" customWidth="1"/>
    <col min="12291" max="12291" width="10.5703125" style="362" customWidth="1"/>
    <col min="12292" max="12292" width="10.7109375" style="362" customWidth="1"/>
    <col min="12293" max="12293" width="10.28515625" style="362" customWidth="1"/>
    <col min="12294" max="12294" width="10.7109375" style="362" customWidth="1"/>
    <col min="12295" max="12295" width="9.42578125" style="362" customWidth="1"/>
    <col min="12296" max="12296" width="10.5703125" style="362" customWidth="1"/>
    <col min="12297" max="12297" width="13.7109375" style="362" customWidth="1"/>
    <col min="12298" max="12299" width="10.42578125" style="362" customWidth="1"/>
    <col min="12300" max="12300" width="10.28515625" style="362" customWidth="1"/>
    <col min="12301" max="12301" width="9.42578125" style="362" customWidth="1"/>
    <col min="12302" max="12302" width="8.7109375" style="362" customWidth="1"/>
    <col min="12303" max="12303" width="10.42578125" style="362" customWidth="1"/>
    <col min="12304" max="12304" width="10.28515625" style="362" customWidth="1"/>
    <col min="12305" max="12544" width="11.42578125" style="362"/>
    <col min="12545" max="12545" width="7" style="362" customWidth="1"/>
    <col min="12546" max="12546" width="10.7109375" style="362" customWidth="1"/>
    <col min="12547" max="12547" width="10.5703125" style="362" customWidth="1"/>
    <col min="12548" max="12548" width="10.7109375" style="362" customWidth="1"/>
    <col min="12549" max="12549" width="10.28515625" style="362" customWidth="1"/>
    <col min="12550" max="12550" width="10.7109375" style="362" customWidth="1"/>
    <col min="12551" max="12551" width="9.42578125" style="362" customWidth="1"/>
    <col min="12552" max="12552" width="10.5703125" style="362" customWidth="1"/>
    <col min="12553" max="12553" width="13.7109375" style="362" customWidth="1"/>
    <col min="12554" max="12555" width="10.42578125" style="362" customWidth="1"/>
    <col min="12556" max="12556" width="10.28515625" style="362" customWidth="1"/>
    <col min="12557" max="12557" width="9.42578125" style="362" customWidth="1"/>
    <col min="12558" max="12558" width="8.7109375" style="362" customWidth="1"/>
    <col min="12559" max="12559" width="10.42578125" style="362" customWidth="1"/>
    <col min="12560" max="12560" width="10.28515625" style="362" customWidth="1"/>
    <col min="12561" max="12800" width="11.42578125" style="362"/>
    <col min="12801" max="12801" width="7" style="362" customWidth="1"/>
    <col min="12802" max="12802" width="10.7109375" style="362" customWidth="1"/>
    <col min="12803" max="12803" width="10.5703125" style="362" customWidth="1"/>
    <col min="12804" max="12804" width="10.7109375" style="362" customWidth="1"/>
    <col min="12805" max="12805" width="10.28515625" style="362" customWidth="1"/>
    <col min="12806" max="12806" width="10.7109375" style="362" customWidth="1"/>
    <col min="12807" max="12807" width="9.42578125" style="362" customWidth="1"/>
    <col min="12808" max="12808" width="10.5703125" style="362" customWidth="1"/>
    <col min="12809" max="12809" width="13.7109375" style="362" customWidth="1"/>
    <col min="12810" max="12811" width="10.42578125" style="362" customWidth="1"/>
    <col min="12812" max="12812" width="10.28515625" style="362" customWidth="1"/>
    <col min="12813" max="12813" width="9.42578125" style="362" customWidth="1"/>
    <col min="12814" max="12814" width="8.7109375" style="362" customWidth="1"/>
    <col min="12815" max="12815" width="10.42578125" style="362" customWidth="1"/>
    <col min="12816" max="12816" width="10.28515625" style="362" customWidth="1"/>
    <col min="12817" max="13056" width="11.42578125" style="362"/>
    <col min="13057" max="13057" width="7" style="362" customWidth="1"/>
    <col min="13058" max="13058" width="10.7109375" style="362" customWidth="1"/>
    <col min="13059" max="13059" width="10.5703125" style="362" customWidth="1"/>
    <col min="13060" max="13060" width="10.7109375" style="362" customWidth="1"/>
    <col min="13061" max="13061" width="10.28515625" style="362" customWidth="1"/>
    <col min="13062" max="13062" width="10.7109375" style="362" customWidth="1"/>
    <col min="13063" max="13063" width="9.42578125" style="362" customWidth="1"/>
    <col min="13064" max="13064" width="10.5703125" style="362" customWidth="1"/>
    <col min="13065" max="13065" width="13.7109375" style="362" customWidth="1"/>
    <col min="13066" max="13067" width="10.42578125" style="362" customWidth="1"/>
    <col min="13068" max="13068" width="10.28515625" style="362" customWidth="1"/>
    <col min="13069" max="13069" width="9.42578125" style="362" customWidth="1"/>
    <col min="13070" max="13070" width="8.7109375" style="362" customWidth="1"/>
    <col min="13071" max="13071" width="10.42578125" style="362" customWidth="1"/>
    <col min="13072" max="13072" width="10.28515625" style="362" customWidth="1"/>
    <col min="13073" max="13312" width="11.42578125" style="362"/>
    <col min="13313" max="13313" width="7" style="362" customWidth="1"/>
    <col min="13314" max="13314" width="10.7109375" style="362" customWidth="1"/>
    <col min="13315" max="13315" width="10.5703125" style="362" customWidth="1"/>
    <col min="13316" max="13316" width="10.7109375" style="362" customWidth="1"/>
    <col min="13317" max="13317" width="10.28515625" style="362" customWidth="1"/>
    <col min="13318" max="13318" width="10.7109375" style="362" customWidth="1"/>
    <col min="13319" max="13319" width="9.42578125" style="362" customWidth="1"/>
    <col min="13320" max="13320" width="10.5703125" style="362" customWidth="1"/>
    <col min="13321" max="13321" width="13.7109375" style="362" customWidth="1"/>
    <col min="13322" max="13323" width="10.42578125" style="362" customWidth="1"/>
    <col min="13324" max="13324" width="10.28515625" style="362" customWidth="1"/>
    <col min="13325" max="13325" width="9.42578125" style="362" customWidth="1"/>
    <col min="13326" max="13326" width="8.7109375" style="362" customWidth="1"/>
    <col min="13327" max="13327" width="10.42578125" style="362" customWidth="1"/>
    <col min="13328" max="13328" width="10.28515625" style="362" customWidth="1"/>
    <col min="13329" max="13568" width="11.42578125" style="362"/>
    <col min="13569" max="13569" width="7" style="362" customWidth="1"/>
    <col min="13570" max="13570" width="10.7109375" style="362" customWidth="1"/>
    <col min="13571" max="13571" width="10.5703125" style="362" customWidth="1"/>
    <col min="13572" max="13572" width="10.7109375" style="362" customWidth="1"/>
    <col min="13573" max="13573" width="10.28515625" style="362" customWidth="1"/>
    <col min="13574" max="13574" width="10.7109375" style="362" customWidth="1"/>
    <col min="13575" max="13575" width="9.42578125" style="362" customWidth="1"/>
    <col min="13576" max="13576" width="10.5703125" style="362" customWidth="1"/>
    <col min="13577" max="13577" width="13.7109375" style="362" customWidth="1"/>
    <col min="13578" max="13579" width="10.42578125" style="362" customWidth="1"/>
    <col min="13580" max="13580" width="10.28515625" style="362" customWidth="1"/>
    <col min="13581" max="13581" width="9.42578125" style="362" customWidth="1"/>
    <col min="13582" max="13582" width="8.7109375" style="362" customWidth="1"/>
    <col min="13583" max="13583" width="10.42578125" style="362" customWidth="1"/>
    <col min="13584" max="13584" width="10.28515625" style="362" customWidth="1"/>
    <col min="13585" max="13824" width="11.42578125" style="362"/>
    <col min="13825" max="13825" width="7" style="362" customWidth="1"/>
    <col min="13826" max="13826" width="10.7109375" style="362" customWidth="1"/>
    <col min="13827" max="13827" width="10.5703125" style="362" customWidth="1"/>
    <col min="13828" max="13828" width="10.7109375" style="362" customWidth="1"/>
    <col min="13829" max="13829" width="10.28515625" style="362" customWidth="1"/>
    <col min="13830" max="13830" width="10.7109375" style="362" customWidth="1"/>
    <col min="13831" max="13831" width="9.42578125" style="362" customWidth="1"/>
    <col min="13832" max="13832" width="10.5703125" style="362" customWidth="1"/>
    <col min="13833" max="13833" width="13.7109375" style="362" customWidth="1"/>
    <col min="13834" max="13835" width="10.42578125" style="362" customWidth="1"/>
    <col min="13836" max="13836" width="10.28515625" style="362" customWidth="1"/>
    <col min="13837" max="13837" width="9.42578125" style="362" customWidth="1"/>
    <col min="13838" max="13838" width="8.7109375" style="362" customWidth="1"/>
    <col min="13839" max="13839" width="10.42578125" style="362" customWidth="1"/>
    <col min="13840" max="13840" width="10.28515625" style="362" customWidth="1"/>
    <col min="13841" max="14080" width="11.42578125" style="362"/>
    <col min="14081" max="14081" width="7" style="362" customWidth="1"/>
    <col min="14082" max="14082" width="10.7109375" style="362" customWidth="1"/>
    <col min="14083" max="14083" width="10.5703125" style="362" customWidth="1"/>
    <col min="14084" max="14084" width="10.7109375" style="362" customWidth="1"/>
    <col min="14085" max="14085" width="10.28515625" style="362" customWidth="1"/>
    <col min="14086" max="14086" width="10.7109375" style="362" customWidth="1"/>
    <col min="14087" max="14087" width="9.42578125" style="362" customWidth="1"/>
    <col min="14088" max="14088" width="10.5703125" style="362" customWidth="1"/>
    <col min="14089" max="14089" width="13.7109375" style="362" customWidth="1"/>
    <col min="14090" max="14091" width="10.42578125" style="362" customWidth="1"/>
    <col min="14092" max="14092" width="10.28515625" style="362" customWidth="1"/>
    <col min="14093" max="14093" width="9.42578125" style="362" customWidth="1"/>
    <col min="14094" max="14094" width="8.7109375" style="362" customWidth="1"/>
    <col min="14095" max="14095" width="10.42578125" style="362" customWidth="1"/>
    <col min="14096" max="14096" width="10.28515625" style="362" customWidth="1"/>
    <col min="14097" max="14336" width="11.42578125" style="362"/>
    <col min="14337" max="14337" width="7" style="362" customWidth="1"/>
    <col min="14338" max="14338" width="10.7109375" style="362" customWidth="1"/>
    <col min="14339" max="14339" width="10.5703125" style="362" customWidth="1"/>
    <col min="14340" max="14340" width="10.7109375" style="362" customWidth="1"/>
    <col min="14341" max="14341" width="10.28515625" style="362" customWidth="1"/>
    <col min="14342" max="14342" width="10.7109375" style="362" customWidth="1"/>
    <col min="14343" max="14343" width="9.42578125" style="362" customWidth="1"/>
    <col min="14344" max="14344" width="10.5703125" style="362" customWidth="1"/>
    <col min="14345" max="14345" width="13.7109375" style="362" customWidth="1"/>
    <col min="14346" max="14347" width="10.42578125" style="362" customWidth="1"/>
    <col min="14348" max="14348" width="10.28515625" style="362" customWidth="1"/>
    <col min="14349" max="14349" width="9.42578125" style="362" customWidth="1"/>
    <col min="14350" max="14350" width="8.7109375" style="362" customWidth="1"/>
    <col min="14351" max="14351" width="10.42578125" style="362" customWidth="1"/>
    <col min="14352" max="14352" width="10.28515625" style="362" customWidth="1"/>
    <col min="14353" max="14592" width="11.42578125" style="362"/>
    <col min="14593" max="14593" width="7" style="362" customWidth="1"/>
    <col min="14594" max="14594" width="10.7109375" style="362" customWidth="1"/>
    <col min="14595" max="14595" width="10.5703125" style="362" customWidth="1"/>
    <col min="14596" max="14596" width="10.7109375" style="362" customWidth="1"/>
    <col min="14597" max="14597" width="10.28515625" style="362" customWidth="1"/>
    <col min="14598" max="14598" width="10.7109375" style="362" customWidth="1"/>
    <col min="14599" max="14599" width="9.42578125" style="362" customWidth="1"/>
    <col min="14600" max="14600" width="10.5703125" style="362" customWidth="1"/>
    <col min="14601" max="14601" width="13.7109375" style="362" customWidth="1"/>
    <col min="14602" max="14603" width="10.42578125" style="362" customWidth="1"/>
    <col min="14604" max="14604" width="10.28515625" style="362" customWidth="1"/>
    <col min="14605" max="14605" width="9.42578125" style="362" customWidth="1"/>
    <col min="14606" max="14606" width="8.7109375" style="362" customWidth="1"/>
    <col min="14607" max="14607" width="10.42578125" style="362" customWidth="1"/>
    <col min="14608" max="14608" width="10.28515625" style="362" customWidth="1"/>
    <col min="14609" max="14848" width="11.42578125" style="362"/>
    <col min="14849" max="14849" width="7" style="362" customWidth="1"/>
    <col min="14850" max="14850" width="10.7109375" style="362" customWidth="1"/>
    <col min="14851" max="14851" width="10.5703125" style="362" customWidth="1"/>
    <col min="14852" max="14852" width="10.7109375" style="362" customWidth="1"/>
    <col min="14853" max="14853" width="10.28515625" style="362" customWidth="1"/>
    <col min="14854" max="14854" width="10.7109375" style="362" customWidth="1"/>
    <col min="14855" max="14855" width="9.42578125" style="362" customWidth="1"/>
    <col min="14856" max="14856" width="10.5703125" style="362" customWidth="1"/>
    <col min="14857" max="14857" width="13.7109375" style="362" customWidth="1"/>
    <col min="14858" max="14859" width="10.42578125" style="362" customWidth="1"/>
    <col min="14860" max="14860" width="10.28515625" style="362" customWidth="1"/>
    <col min="14861" max="14861" width="9.42578125" style="362" customWidth="1"/>
    <col min="14862" max="14862" width="8.7109375" style="362" customWidth="1"/>
    <col min="14863" max="14863" width="10.42578125" style="362" customWidth="1"/>
    <col min="14864" max="14864" width="10.28515625" style="362" customWidth="1"/>
    <col min="14865" max="15104" width="11.42578125" style="362"/>
    <col min="15105" max="15105" width="7" style="362" customWidth="1"/>
    <col min="15106" max="15106" width="10.7109375" style="362" customWidth="1"/>
    <col min="15107" max="15107" width="10.5703125" style="362" customWidth="1"/>
    <col min="15108" max="15108" width="10.7109375" style="362" customWidth="1"/>
    <col min="15109" max="15109" width="10.28515625" style="362" customWidth="1"/>
    <col min="15110" max="15110" width="10.7109375" style="362" customWidth="1"/>
    <col min="15111" max="15111" width="9.42578125" style="362" customWidth="1"/>
    <col min="15112" max="15112" width="10.5703125" style="362" customWidth="1"/>
    <col min="15113" max="15113" width="13.7109375" style="362" customWidth="1"/>
    <col min="15114" max="15115" width="10.42578125" style="362" customWidth="1"/>
    <col min="15116" max="15116" width="10.28515625" style="362" customWidth="1"/>
    <col min="15117" max="15117" width="9.42578125" style="362" customWidth="1"/>
    <col min="15118" max="15118" width="8.7109375" style="362" customWidth="1"/>
    <col min="15119" max="15119" width="10.42578125" style="362" customWidth="1"/>
    <col min="15120" max="15120" width="10.28515625" style="362" customWidth="1"/>
    <col min="15121" max="15360" width="11.42578125" style="362"/>
    <col min="15361" max="15361" width="7" style="362" customWidth="1"/>
    <col min="15362" max="15362" width="10.7109375" style="362" customWidth="1"/>
    <col min="15363" max="15363" width="10.5703125" style="362" customWidth="1"/>
    <col min="15364" max="15364" width="10.7109375" style="362" customWidth="1"/>
    <col min="15365" max="15365" width="10.28515625" style="362" customWidth="1"/>
    <col min="15366" max="15366" width="10.7109375" style="362" customWidth="1"/>
    <col min="15367" max="15367" width="9.42578125" style="362" customWidth="1"/>
    <col min="15368" max="15368" width="10.5703125" style="362" customWidth="1"/>
    <col min="15369" max="15369" width="13.7109375" style="362" customWidth="1"/>
    <col min="15370" max="15371" width="10.42578125" style="362" customWidth="1"/>
    <col min="15372" max="15372" width="10.28515625" style="362" customWidth="1"/>
    <col min="15373" max="15373" width="9.42578125" style="362" customWidth="1"/>
    <col min="15374" max="15374" width="8.7109375" style="362" customWidth="1"/>
    <col min="15375" max="15375" width="10.42578125" style="362" customWidth="1"/>
    <col min="15376" max="15376" width="10.28515625" style="362" customWidth="1"/>
    <col min="15377" max="15616" width="11.42578125" style="362"/>
    <col min="15617" max="15617" width="7" style="362" customWidth="1"/>
    <col min="15618" max="15618" width="10.7109375" style="362" customWidth="1"/>
    <col min="15619" max="15619" width="10.5703125" style="362" customWidth="1"/>
    <col min="15620" max="15620" width="10.7109375" style="362" customWidth="1"/>
    <col min="15621" max="15621" width="10.28515625" style="362" customWidth="1"/>
    <col min="15622" max="15622" width="10.7109375" style="362" customWidth="1"/>
    <col min="15623" max="15623" width="9.42578125" style="362" customWidth="1"/>
    <col min="15624" max="15624" width="10.5703125" style="362" customWidth="1"/>
    <col min="15625" max="15625" width="13.7109375" style="362" customWidth="1"/>
    <col min="15626" max="15627" width="10.42578125" style="362" customWidth="1"/>
    <col min="15628" max="15628" width="10.28515625" style="362" customWidth="1"/>
    <col min="15629" max="15629" width="9.42578125" style="362" customWidth="1"/>
    <col min="15630" max="15630" width="8.7109375" style="362" customWidth="1"/>
    <col min="15631" max="15631" width="10.42578125" style="362" customWidth="1"/>
    <col min="15632" max="15632" width="10.28515625" style="362" customWidth="1"/>
    <col min="15633" max="15872" width="11.42578125" style="362"/>
    <col min="15873" max="15873" width="7" style="362" customWidth="1"/>
    <col min="15874" max="15874" width="10.7109375" style="362" customWidth="1"/>
    <col min="15875" max="15875" width="10.5703125" style="362" customWidth="1"/>
    <col min="15876" max="15876" width="10.7109375" style="362" customWidth="1"/>
    <col min="15877" max="15877" width="10.28515625" style="362" customWidth="1"/>
    <col min="15878" max="15878" width="10.7109375" style="362" customWidth="1"/>
    <col min="15879" max="15879" width="9.42578125" style="362" customWidth="1"/>
    <col min="15880" max="15880" width="10.5703125" style="362" customWidth="1"/>
    <col min="15881" max="15881" width="13.7109375" style="362" customWidth="1"/>
    <col min="15882" max="15883" width="10.42578125" style="362" customWidth="1"/>
    <col min="15884" max="15884" width="10.28515625" style="362" customWidth="1"/>
    <col min="15885" max="15885" width="9.42578125" style="362" customWidth="1"/>
    <col min="15886" max="15886" width="8.7109375" style="362" customWidth="1"/>
    <col min="15887" max="15887" width="10.42578125" style="362" customWidth="1"/>
    <col min="15888" max="15888" width="10.28515625" style="362" customWidth="1"/>
    <col min="15889" max="16128" width="11.42578125" style="362"/>
    <col min="16129" max="16129" width="7" style="362" customWidth="1"/>
    <col min="16130" max="16130" width="10.7109375" style="362" customWidth="1"/>
    <col min="16131" max="16131" width="10.5703125" style="362" customWidth="1"/>
    <col min="16132" max="16132" width="10.7109375" style="362" customWidth="1"/>
    <col min="16133" max="16133" width="10.28515625" style="362" customWidth="1"/>
    <col min="16134" max="16134" width="10.7109375" style="362" customWidth="1"/>
    <col min="16135" max="16135" width="9.42578125" style="362" customWidth="1"/>
    <col min="16136" max="16136" width="10.5703125" style="362" customWidth="1"/>
    <col min="16137" max="16137" width="13.7109375" style="362" customWidth="1"/>
    <col min="16138" max="16139" width="10.42578125" style="362" customWidth="1"/>
    <col min="16140" max="16140" width="10.28515625" style="362" customWidth="1"/>
    <col min="16141" max="16141" width="9.42578125" style="362" customWidth="1"/>
    <col min="16142" max="16142" width="8.7109375" style="362" customWidth="1"/>
    <col min="16143" max="16143" width="10.42578125" style="362" customWidth="1"/>
    <col min="16144" max="16144" width="10.28515625" style="362" customWidth="1"/>
    <col min="16145" max="16384" width="11.42578125" style="362"/>
  </cols>
  <sheetData>
    <row r="1" spans="1:21" ht="15" customHeight="1">
      <c r="A1" s="716" t="s">
        <v>1706</v>
      </c>
      <c r="B1" s="716"/>
      <c r="C1" s="716"/>
      <c r="D1" s="716"/>
      <c r="E1" s="716"/>
      <c r="F1" s="716"/>
      <c r="G1" s="716"/>
      <c r="H1" s="716"/>
      <c r="I1" s="716"/>
      <c r="J1" s="716"/>
      <c r="K1" s="716"/>
      <c r="L1" s="716"/>
      <c r="M1" s="716"/>
      <c r="N1" s="716"/>
      <c r="O1" s="716"/>
      <c r="P1" s="716"/>
    </row>
    <row r="2" spans="1:21" ht="15" customHeight="1">
      <c r="A2" s="716" t="s">
        <v>1778</v>
      </c>
      <c r="B2" s="716"/>
      <c r="C2" s="716"/>
      <c r="D2" s="716"/>
      <c r="E2" s="716"/>
      <c r="F2" s="716" t="s">
        <v>1708</v>
      </c>
      <c r="G2" s="716"/>
      <c r="H2" s="716"/>
      <c r="I2" s="716"/>
      <c r="J2" s="716"/>
      <c r="K2" s="716"/>
      <c r="L2" s="716"/>
      <c r="M2" s="716"/>
      <c r="N2" s="716"/>
      <c r="O2" s="716"/>
      <c r="P2" s="716"/>
    </row>
    <row r="3" spans="1:21" ht="15" customHeight="1">
      <c r="E3" s="363"/>
    </row>
    <row r="4" spans="1:21" ht="15" customHeight="1">
      <c r="A4" s="717" t="s">
        <v>1709</v>
      </c>
      <c r="B4" s="717"/>
      <c r="C4" s="717"/>
      <c r="D4" s="717"/>
      <c r="E4" s="717"/>
      <c r="F4" s="363"/>
      <c r="K4" s="363"/>
      <c r="N4" s="363" t="s">
        <v>1710</v>
      </c>
      <c r="O4" s="364">
        <f>IF(HorasAmortizaciónEquipoCamión=0,0,ROUND(Valor_CamiónAcoplado*PorcentajeEquipoAmortizarCamión/HorasAmortizaciónEquipoCamión,3))</f>
        <v>0</v>
      </c>
    </row>
    <row r="5" spans="1:21" ht="15" customHeight="1">
      <c r="F5" s="363"/>
      <c r="K5" s="363"/>
      <c r="O5" s="365"/>
    </row>
    <row r="6" spans="1:21" ht="15" customHeight="1">
      <c r="A6" s="429"/>
      <c r="B6" s="429"/>
      <c r="C6" s="429"/>
      <c r="D6" s="429"/>
      <c r="E6" s="429"/>
      <c r="F6" s="363"/>
      <c r="K6" s="363"/>
      <c r="O6" s="365"/>
    </row>
    <row r="7" spans="1:21" ht="15" customHeight="1">
      <c r="A7" s="731" t="s">
        <v>1711</v>
      </c>
      <c r="B7" s="731"/>
      <c r="C7" s="731"/>
      <c r="D7" s="731"/>
      <c r="E7" s="418"/>
      <c r="F7" s="363"/>
      <c r="G7" s="366"/>
      <c r="I7" s="718"/>
      <c r="J7" s="367"/>
      <c r="K7" s="368"/>
      <c r="N7" s="363" t="s">
        <v>1712</v>
      </c>
      <c r="O7" s="364">
        <f>ROUND(Valor_CamiónAcoplado*E10/4000,3)</f>
        <v>0</v>
      </c>
      <c r="Q7" s="366"/>
      <c r="R7" s="369"/>
      <c r="S7" s="718"/>
      <c r="T7" s="370"/>
      <c r="U7" s="367"/>
    </row>
    <row r="8" spans="1:21" ht="15" customHeight="1">
      <c r="A8" s="731" t="s">
        <v>1713</v>
      </c>
      <c r="B8" s="731"/>
      <c r="C8" s="731"/>
      <c r="D8" s="731"/>
      <c r="E8" s="419"/>
      <c r="F8" s="363"/>
      <c r="G8" s="719"/>
      <c r="H8" s="719"/>
      <c r="I8" s="718"/>
      <c r="K8" s="363"/>
      <c r="O8" s="365"/>
      <c r="Q8" s="719"/>
      <c r="R8" s="719"/>
      <c r="S8" s="718"/>
    </row>
    <row r="9" spans="1:21" ht="15" customHeight="1">
      <c r="A9" s="731" t="s">
        <v>1714</v>
      </c>
      <c r="B9" s="731"/>
      <c r="C9" s="731"/>
      <c r="D9" s="731"/>
      <c r="E9" s="420"/>
      <c r="F9" s="363"/>
      <c r="K9" s="363"/>
      <c r="O9" s="365"/>
    </row>
    <row r="10" spans="1:21" ht="15" customHeight="1">
      <c r="A10" s="731" t="s">
        <v>1715</v>
      </c>
      <c r="B10" s="731"/>
      <c r="C10" s="731"/>
      <c r="D10" s="731"/>
      <c r="E10" s="420"/>
      <c r="F10" s="363"/>
      <c r="K10" s="363"/>
      <c r="N10" s="363" t="s">
        <v>1716</v>
      </c>
      <c r="O10" s="364">
        <f>ROUND(O4*Porcentaje_Reparaciones_Repuestos,3)</f>
        <v>0</v>
      </c>
    </row>
    <row r="11" spans="1:21" ht="15" customHeight="1">
      <c r="A11" s="731" t="s">
        <v>1717</v>
      </c>
      <c r="B11" s="731"/>
      <c r="C11" s="731"/>
      <c r="D11" s="731"/>
      <c r="E11" s="420"/>
      <c r="F11" s="363"/>
      <c r="K11" s="363"/>
      <c r="O11" s="365"/>
    </row>
    <row r="12" spans="1:21" ht="15" customHeight="1">
      <c r="A12" s="731" t="s">
        <v>1718</v>
      </c>
      <c r="B12" s="731"/>
      <c r="C12" s="731"/>
      <c r="D12" s="731"/>
      <c r="E12" s="420"/>
      <c r="F12" s="363"/>
      <c r="K12" s="363"/>
      <c r="O12" s="365"/>
    </row>
    <row r="13" spans="1:21" ht="15" customHeight="1">
      <c r="A13" s="731" t="s">
        <v>1719</v>
      </c>
      <c r="B13" s="731"/>
      <c r="C13" s="731"/>
      <c r="D13" s="731"/>
      <c r="E13" s="419"/>
      <c r="F13" s="363"/>
      <c r="K13" s="363"/>
      <c r="N13" s="363" t="s">
        <v>1720</v>
      </c>
      <c r="O13" s="364">
        <f>ROUND(Tiempo_lavado_en_horas*Mano_Obra_Lavado*Cantidad_lavado_al_mes*12/2000,3)</f>
        <v>0</v>
      </c>
    </row>
    <row r="14" spans="1:21" ht="15" customHeight="1">
      <c r="A14" s="731" t="s">
        <v>1721</v>
      </c>
      <c r="B14" s="731"/>
      <c r="C14" s="731"/>
      <c r="D14" s="731"/>
      <c r="E14" s="421"/>
      <c r="F14" s="363"/>
      <c r="K14" s="363"/>
      <c r="O14" s="365"/>
    </row>
    <row r="15" spans="1:21" ht="15" customHeight="1">
      <c r="A15" s="731" t="s">
        <v>1722</v>
      </c>
      <c r="B15" s="731"/>
      <c r="C15" s="731"/>
      <c r="D15" s="731"/>
      <c r="E15" s="422"/>
      <c r="F15" s="363"/>
      <c r="G15" s="366"/>
      <c r="I15" s="718"/>
      <c r="J15" s="367"/>
      <c r="K15" s="368"/>
      <c r="O15" s="365"/>
      <c r="Q15" s="371"/>
      <c r="R15" s="372"/>
      <c r="S15" s="718"/>
      <c r="T15" s="370"/>
      <c r="U15" s="373"/>
    </row>
    <row r="16" spans="1:21" ht="15" customHeight="1">
      <c r="A16" s="731" t="s">
        <v>1723</v>
      </c>
      <c r="B16" s="731"/>
      <c r="C16" s="731"/>
      <c r="D16" s="731"/>
      <c r="E16" s="423"/>
      <c r="F16" s="363"/>
      <c r="G16" s="719"/>
      <c r="H16" s="719"/>
      <c r="I16" s="718"/>
      <c r="K16" s="363"/>
      <c r="N16" s="363" t="s">
        <v>1724</v>
      </c>
      <c r="O16" s="364">
        <f>ROUND(Valor_CamiónAcoplado*PorSegurosPatentesImpustoCamión/2000,3)</f>
        <v>0</v>
      </c>
      <c r="Q16" s="720"/>
      <c r="R16" s="720"/>
      <c r="S16" s="718"/>
    </row>
    <row r="17" spans="1:21" ht="15" customHeight="1">
      <c r="A17" s="731" t="s">
        <v>1725</v>
      </c>
      <c r="B17" s="731"/>
      <c r="C17" s="731"/>
      <c r="D17" s="731"/>
      <c r="E17" s="424"/>
      <c r="F17" s="363"/>
      <c r="K17" s="363"/>
      <c r="O17" s="365"/>
    </row>
    <row r="18" spans="1:21" ht="15" customHeight="1">
      <c r="A18" s="731" t="s">
        <v>1726</v>
      </c>
      <c r="B18" s="731"/>
      <c r="C18" s="731"/>
      <c r="D18" s="731"/>
      <c r="E18" s="425"/>
      <c r="F18" s="363"/>
      <c r="K18" s="363"/>
      <c r="O18" s="365"/>
    </row>
    <row r="19" spans="1:21" ht="15" customHeight="1">
      <c r="A19" s="731" t="s">
        <v>1727</v>
      </c>
      <c r="B19" s="731"/>
      <c r="C19" s="731"/>
      <c r="D19" s="731"/>
      <c r="E19" s="426"/>
      <c r="F19" s="363"/>
      <c r="G19" s="366"/>
      <c r="J19" s="367"/>
      <c r="K19" s="368"/>
      <c r="N19" s="363" t="s">
        <v>1728</v>
      </c>
      <c r="O19" s="364">
        <f>IF(V_U_cámara_cubiertas_CamiónAcoplado=0,0,ROUND(Cantidad_camaras_cubiertas*Valor_cámara_cubiertas_CamiónAcoplado/V_U_cámara_cubiertas_CamiónAcoplado,3))</f>
        <v>0</v>
      </c>
      <c r="Q19" s="374"/>
      <c r="R19" s="375"/>
      <c r="S19" s="376"/>
      <c r="T19" s="370"/>
      <c r="U19" s="377"/>
    </row>
    <row r="20" spans="1:21" ht="15" customHeight="1">
      <c r="A20" s="731" t="s">
        <v>1729</v>
      </c>
      <c r="B20" s="731"/>
      <c r="C20" s="731"/>
      <c r="D20" s="731"/>
      <c r="E20" s="420"/>
      <c r="F20" s="363"/>
      <c r="G20" s="719"/>
      <c r="H20" s="719"/>
      <c r="K20" s="363"/>
      <c r="O20" s="365"/>
    </row>
    <row r="21" spans="1:21" ht="15" customHeight="1">
      <c r="A21" s="731" t="s">
        <v>1780</v>
      </c>
      <c r="B21" s="731"/>
      <c r="C21" s="731"/>
      <c r="D21" s="731" t="s">
        <v>1730</v>
      </c>
      <c r="E21" s="427"/>
      <c r="G21" s="730"/>
      <c r="H21" s="730"/>
      <c r="I21" s="730"/>
      <c r="K21" s="363"/>
      <c r="O21" s="365"/>
    </row>
    <row r="22" spans="1:21" ht="15" customHeight="1">
      <c r="A22" s="731" t="s">
        <v>1781</v>
      </c>
      <c r="B22" s="731"/>
      <c r="C22" s="731"/>
      <c r="D22" s="731" t="s">
        <v>1731</v>
      </c>
      <c r="E22" s="428"/>
      <c r="K22" s="363"/>
      <c r="N22" s="363" t="s">
        <v>1732</v>
      </c>
      <c r="O22" s="364">
        <f>ROUND(Consumo_gasoil_CamiónAcoplado_porkm*Costo_gasoil*(1+Porcentaje_Lubricantes),3)</f>
        <v>0</v>
      </c>
    </row>
    <row r="23" spans="1:21" ht="15" customHeight="1">
      <c r="A23" s="430"/>
      <c r="B23" s="430"/>
      <c r="C23" s="430"/>
      <c r="D23" s="430"/>
      <c r="E23" s="430"/>
      <c r="G23" s="378"/>
      <c r="H23" s="379"/>
      <c r="I23" s="380"/>
      <c r="J23" s="381"/>
      <c r="K23" s="368"/>
    </row>
    <row r="25" spans="1:21" ht="15" customHeight="1">
      <c r="A25" s="726" t="s">
        <v>1733</v>
      </c>
      <c r="B25" s="726"/>
      <c r="C25" s="726"/>
      <c r="D25" s="726"/>
      <c r="E25" s="726"/>
      <c r="F25" s="726"/>
      <c r="G25" s="726"/>
      <c r="H25" s="727" t="s">
        <v>1734</v>
      </c>
      <c r="I25" s="727"/>
      <c r="J25" s="727"/>
      <c r="K25" s="727"/>
      <c r="L25" s="727"/>
      <c r="M25" s="727"/>
      <c r="N25" s="727"/>
      <c r="O25" s="727"/>
      <c r="P25" s="728" t="s">
        <v>1735</v>
      </c>
    </row>
    <row r="26" spans="1:21" ht="15" customHeight="1">
      <c r="A26" s="382" t="s">
        <v>1736</v>
      </c>
      <c r="B26" s="382" t="s">
        <v>1737</v>
      </c>
      <c r="C26" s="382" t="s">
        <v>1738</v>
      </c>
      <c r="D26" s="382" t="s">
        <v>1739</v>
      </c>
      <c r="E26" s="382" t="s">
        <v>1740</v>
      </c>
      <c r="F26" s="382" t="s">
        <v>1006</v>
      </c>
      <c r="G26" s="382" t="s">
        <v>1741</v>
      </c>
      <c r="H26" s="729" t="s">
        <v>1668</v>
      </c>
      <c r="I26" s="729" t="s">
        <v>1742</v>
      </c>
      <c r="J26" s="382" t="s">
        <v>1743</v>
      </c>
      <c r="K26" s="382" t="s">
        <v>1744</v>
      </c>
      <c r="L26" s="382" t="s">
        <v>1745</v>
      </c>
      <c r="M26" s="382" t="s">
        <v>1746</v>
      </c>
      <c r="N26" s="382" t="s">
        <v>1747</v>
      </c>
      <c r="O26" s="383" t="s">
        <v>1779</v>
      </c>
      <c r="P26" s="728"/>
    </row>
    <row r="27" spans="1:21" ht="15" customHeight="1">
      <c r="A27" s="382" t="s">
        <v>1749</v>
      </c>
      <c r="B27" s="382" t="s">
        <v>1750</v>
      </c>
      <c r="C27" s="382" t="s">
        <v>1751</v>
      </c>
      <c r="D27" s="382" t="s">
        <v>1752</v>
      </c>
      <c r="E27" s="382" t="s">
        <v>1753</v>
      </c>
      <c r="F27" s="382" t="s">
        <v>1754</v>
      </c>
      <c r="G27" s="382" t="s">
        <v>1755</v>
      </c>
      <c r="H27" s="729"/>
      <c r="I27" s="729"/>
      <c r="J27" s="382" t="s">
        <v>1756</v>
      </c>
      <c r="K27" s="382" t="s">
        <v>1757</v>
      </c>
      <c r="L27" s="382" t="s">
        <v>1758</v>
      </c>
      <c r="M27" s="382" t="s">
        <v>1759</v>
      </c>
      <c r="N27" s="382" t="s">
        <v>1760</v>
      </c>
      <c r="O27" s="383" t="s">
        <v>1761</v>
      </c>
      <c r="P27" s="728"/>
    </row>
    <row r="28" spans="1:21" ht="15" customHeight="1">
      <c r="A28" s="725" t="s">
        <v>1762</v>
      </c>
      <c r="B28" s="725" t="s">
        <v>1763</v>
      </c>
      <c r="C28" s="725" t="s">
        <v>1764</v>
      </c>
      <c r="D28" s="725" t="s">
        <v>1765</v>
      </c>
      <c r="E28" s="725" t="s">
        <v>1766</v>
      </c>
      <c r="F28" s="725" t="s">
        <v>1767</v>
      </c>
      <c r="G28" s="725" t="s">
        <v>1768</v>
      </c>
      <c r="H28" s="725" t="s">
        <v>1769</v>
      </c>
      <c r="I28" s="725" t="s">
        <v>1770</v>
      </c>
      <c r="J28" s="725" t="s">
        <v>1771</v>
      </c>
      <c r="K28" s="725" t="s">
        <v>1772</v>
      </c>
      <c r="L28" s="725" t="s">
        <v>1773</v>
      </c>
      <c r="M28" s="725" t="s">
        <v>1774</v>
      </c>
      <c r="N28" s="725" t="s">
        <v>1775</v>
      </c>
      <c r="O28" s="725" t="s">
        <v>1776</v>
      </c>
      <c r="P28" s="721" t="s">
        <v>1777</v>
      </c>
    </row>
    <row r="29" spans="1:21" ht="15" customHeight="1">
      <c r="A29" s="725"/>
      <c r="B29" s="725"/>
      <c r="C29" s="725"/>
      <c r="D29" s="725"/>
      <c r="E29" s="725"/>
      <c r="F29" s="725"/>
      <c r="G29" s="725"/>
      <c r="H29" s="725"/>
      <c r="I29" s="725"/>
      <c r="J29" s="725"/>
      <c r="K29" s="725"/>
      <c r="L29" s="725"/>
      <c r="M29" s="725"/>
      <c r="N29" s="725"/>
      <c r="O29" s="725"/>
      <c r="P29" s="721"/>
    </row>
    <row r="30" spans="1:21" ht="15" customHeight="1">
      <c r="A30" s="384">
        <v>55</v>
      </c>
      <c r="B30" s="393"/>
      <c r="C30" s="386">
        <f>IF(B30=0,0,(2*A30*60)/B30)</f>
        <v>0</v>
      </c>
      <c r="D30" s="386"/>
      <c r="E30" s="386">
        <f t="shared" ref="E30:E64" si="0">+C30+D30</f>
        <v>0</v>
      </c>
      <c r="F30" s="394">
        <f>A30*$E$21</f>
        <v>0</v>
      </c>
      <c r="G30" s="389">
        <f t="shared" ref="G30:G64" si="1">+A30*2</f>
        <v>110</v>
      </c>
      <c r="H30" s="390">
        <f>'Transp. Camión con Acoplado'!A*(E30/60)</f>
        <v>0</v>
      </c>
      <c r="I30" s="390">
        <f>'Transp. Camión con Acoplado'!B*(E30/60)</f>
        <v>0</v>
      </c>
      <c r="J30" s="390">
        <f>'Transp. Camión con Acoplado'!C_*(C30/60)</f>
        <v>0</v>
      </c>
      <c r="K30" s="390">
        <f>'Transp. Camión con Acoplado'!D*(E30/60)</f>
        <v>0</v>
      </c>
      <c r="L30" s="390">
        <f>'Transp. Camión con Acoplado'!E*(E30/60)</f>
        <v>0</v>
      </c>
      <c r="M30" s="390">
        <f>'Transp. Camión con Acoplado'!F_*G30</f>
        <v>0</v>
      </c>
      <c r="N30" s="390">
        <f t="shared" ref="N30:N64" si="2">Mano_Obra_Lavado*(E30/60)</f>
        <v>0</v>
      </c>
      <c r="O30" s="390">
        <f>+G30*'Transp. Camión con Acoplado'!G</f>
        <v>0</v>
      </c>
      <c r="P30" s="391">
        <f>IF(F30=0,0,ROUND(SUM(H30:O30)/F30,3))</f>
        <v>0</v>
      </c>
      <c r="R30" s="392"/>
    </row>
    <row r="31" spans="1:21" ht="15" customHeight="1">
      <c r="A31" s="384">
        <v>60</v>
      </c>
      <c r="B31" s="393"/>
      <c r="C31" s="386">
        <f t="shared" ref="C31:C64" si="3">IF(B31=0,0,(2*A31*60)/B31)</f>
        <v>0</v>
      </c>
      <c r="D31" s="386"/>
      <c r="E31" s="386">
        <f t="shared" si="0"/>
        <v>0</v>
      </c>
      <c r="F31" s="394">
        <f t="shared" ref="F31:F64" si="4">A31*$E$21</f>
        <v>0</v>
      </c>
      <c r="G31" s="389">
        <f t="shared" si="1"/>
        <v>120</v>
      </c>
      <c r="H31" s="390">
        <f>'Transp. Camión con Acoplado'!A*(E31/60)</f>
        <v>0</v>
      </c>
      <c r="I31" s="390">
        <f>'Transp. Camión con Acoplado'!B*(E31/60)</f>
        <v>0</v>
      </c>
      <c r="J31" s="390">
        <f>'Transp. Camión con Acoplado'!C_*(C31/60)</f>
        <v>0</v>
      </c>
      <c r="K31" s="390">
        <f>'Transp. Camión con Acoplado'!D*(E31/60)</f>
        <v>0</v>
      </c>
      <c r="L31" s="390">
        <f>'Transp. Camión con Acoplado'!E*(E31/60)</f>
        <v>0</v>
      </c>
      <c r="M31" s="390">
        <f>'Transp. Camión con Acoplado'!F_*G31</f>
        <v>0</v>
      </c>
      <c r="N31" s="390">
        <f t="shared" si="2"/>
        <v>0</v>
      </c>
      <c r="O31" s="390">
        <f>+G31*'Transp. Camión con Acoplado'!G</f>
        <v>0</v>
      </c>
      <c r="P31" s="391">
        <f t="shared" ref="P31:P64" si="5">IF(F31=0,0,ROUND(SUM(H31:O31)/F31,3))</f>
        <v>0</v>
      </c>
      <c r="R31" s="392"/>
    </row>
    <row r="32" spans="1:21" ht="15" customHeight="1">
      <c r="A32" s="384">
        <v>65</v>
      </c>
      <c r="B32" s="393"/>
      <c r="C32" s="386">
        <f t="shared" si="3"/>
        <v>0</v>
      </c>
      <c r="D32" s="386"/>
      <c r="E32" s="386">
        <f t="shared" si="0"/>
        <v>0</v>
      </c>
      <c r="F32" s="394">
        <f t="shared" si="4"/>
        <v>0</v>
      </c>
      <c r="G32" s="389">
        <f t="shared" si="1"/>
        <v>130</v>
      </c>
      <c r="H32" s="390">
        <f>'Transp. Camión con Acoplado'!A*(E32/60)</f>
        <v>0</v>
      </c>
      <c r="I32" s="390">
        <f>'Transp. Camión con Acoplado'!B*(E32/60)</f>
        <v>0</v>
      </c>
      <c r="J32" s="390">
        <f>'Transp. Camión con Acoplado'!C_*(C32/60)</f>
        <v>0</v>
      </c>
      <c r="K32" s="390">
        <f>'Transp. Camión con Acoplado'!D*(E32/60)</f>
        <v>0</v>
      </c>
      <c r="L32" s="390">
        <f>'Transp. Camión con Acoplado'!E*(E32/60)</f>
        <v>0</v>
      </c>
      <c r="M32" s="390">
        <f>'Transp. Camión con Acoplado'!F_*G32</f>
        <v>0</v>
      </c>
      <c r="N32" s="390">
        <f t="shared" si="2"/>
        <v>0</v>
      </c>
      <c r="O32" s="390">
        <f>+G32*'Transp. Camión con Acoplado'!G</f>
        <v>0</v>
      </c>
      <c r="P32" s="391">
        <f t="shared" si="5"/>
        <v>0</v>
      </c>
      <c r="R32" s="392"/>
    </row>
    <row r="33" spans="1:18" ht="15" customHeight="1">
      <c r="A33" s="384">
        <v>70</v>
      </c>
      <c r="B33" s="393"/>
      <c r="C33" s="386">
        <f t="shared" si="3"/>
        <v>0</v>
      </c>
      <c r="D33" s="386"/>
      <c r="E33" s="386">
        <f t="shared" si="0"/>
        <v>0</v>
      </c>
      <c r="F33" s="394">
        <f t="shared" si="4"/>
        <v>0</v>
      </c>
      <c r="G33" s="389">
        <f t="shared" si="1"/>
        <v>140</v>
      </c>
      <c r="H33" s="390">
        <f>'Transp. Camión con Acoplado'!A*(E33/60)</f>
        <v>0</v>
      </c>
      <c r="I33" s="390">
        <f>'Transp. Camión con Acoplado'!B*(E33/60)</f>
        <v>0</v>
      </c>
      <c r="J33" s="390">
        <f>'Transp. Camión con Acoplado'!C_*(C33/60)</f>
        <v>0</v>
      </c>
      <c r="K33" s="390">
        <f>'Transp. Camión con Acoplado'!D*(E33/60)</f>
        <v>0</v>
      </c>
      <c r="L33" s="390">
        <f>'Transp. Camión con Acoplado'!E*(E33/60)</f>
        <v>0</v>
      </c>
      <c r="M33" s="390">
        <f>'Transp. Camión con Acoplado'!F_*G33</f>
        <v>0</v>
      </c>
      <c r="N33" s="390">
        <f t="shared" si="2"/>
        <v>0</v>
      </c>
      <c r="O33" s="390">
        <f>+G33*'Transp. Camión con Acoplado'!G</f>
        <v>0</v>
      </c>
      <c r="P33" s="391">
        <f t="shared" si="5"/>
        <v>0</v>
      </c>
      <c r="R33" s="392"/>
    </row>
    <row r="34" spans="1:18" ht="15" customHeight="1">
      <c r="A34" s="384">
        <v>75</v>
      </c>
      <c r="B34" s="393"/>
      <c r="C34" s="386">
        <f t="shared" si="3"/>
        <v>0</v>
      </c>
      <c r="D34" s="386"/>
      <c r="E34" s="386">
        <f t="shared" si="0"/>
        <v>0</v>
      </c>
      <c r="F34" s="394">
        <f t="shared" si="4"/>
        <v>0</v>
      </c>
      <c r="G34" s="389">
        <f t="shared" si="1"/>
        <v>150</v>
      </c>
      <c r="H34" s="390">
        <f>'Transp. Camión con Acoplado'!A*(E34/60)</f>
        <v>0</v>
      </c>
      <c r="I34" s="390">
        <f>'Transp. Camión con Acoplado'!B*(E34/60)</f>
        <v>0</v>
      </c>
      <c r="J34" s="390">
        <f>'Transp. Camión con Acoplado'!C_*(C34/60)</f>
        <v>0</v>
      </c>
      <c r="K34" s="390">
        <f>'Transp. Camión con Acoplado'!D*(E34/60)</f>
        <v>0</v>
      </c>
      <c r="L34" s="390">
        <f>'Transp. Camión con Acoplado'!E*(E34/60)</f>
        <v>0</v>
      </c>
      <c r="M34" s="390">
        <f>'Transp. Camión con Acoplado'!F_*G34</f>
        <v>0</v>
      </c>
      <c r="N34" s="390">
        <f t="shared" si="2"/>
        <v>0</v>
      </c>
      <c r="O34" s="390">
        <f>+G34*'Transp. Camión con Acoplado'!G</f>
        <v>0</v>
      </c>
      <c r="P34" s="391">
        <f t="shared" si="5"/>
        <v>0</v>
      </c>
      <c r="R34" s="392"/>
    </row>
    <row r="35" spans="1:18" ht="15" customHeight="1">
      <c r="A35" s="384">
        <v>80</v>
      </c>
      <c r="B35" s="393"/>
      <c r="C35" s="386">
        <f t="shared" si="3"/>
        <v>0</v>
      </c>
      <c r="D35" s="386"/>
      <c r="E35" s="386">
        <f t="shared" si="0"/>
        <v>0</v>
      </c>
      <c r="F35" s="394">
        <f t="shared" si="4"/>
        <v>0</v>
      </c>
      <c r="G35" s="389">
        <f t="shared" si="1"/>
        <v>160</v>
      </c>
      <c r="H35" s="390">
        <f>'Transp. Camión con Acoplado'!A*(E35/60)</f>
        <v>0</v>
      </c>
      <c r="I35" s="390">
        <f>'Transp. Camión con Acoplado'!B*(E35/60)</f>
        <v>0</v>
      </c>
      <c r="J35" s="390">
        <f>'Transp. Camión con Acoplado'!C_*(C35/60)</f>
        <v>0</v>
      </c>
      <c r="K35" s="390">
        <f>'Transp. Camión con Acoplado'!D*(E35/60)</f>
        <v>0</v>
      </c>
      <c r="L35" s="390">
        <f>'Transp. Camión con Acoplado'!E*(E35/60)</f>
        <v>0</v>
      </c>
      <c r="M35" s="390">
        <f>'Transp. Camión con Acoplado'!F_*G35</f>
        <v>0</v>
      </c>
      <c r="N35" s="390">
        <f t="shared" si="2"/>
        <v>0</v>
      </c>
      <c r="O35" s="390">
        <f>+G35*'Transp. Camión con Acoplado'!G</f>
        <v>0</v>
      </c>
      <c r="P35" s="391">
        <f t="shared" si="5"/>
        <v>0</v>
      </c>
      <c r="R35" s="392"/>
    </row>
    <row r="36" spans="1:18" ht="15" customHeight="1">
      <c r="A36" s="384">
        <v>85</v>
      </c>
      <c r="B36" s="393"/>
      <c r="C36" s="386">
        <f t="shared" si="3"/>
        <v>0</v>
      </c>
      <c r="D36" s="386"/>
      <c r="E36" s="386">
        <f t="shared" si="0"/>
        <v>0</v>
      </c>
      <c r="F36" s="394">
        <f t="shared" si="4"/>
        <v>0</v>
      </c>
      <c r="G36" s="389">
        <f t="shared" si="1"/>
        <v>170</v>
      </c>
      <c r="H36" s="390">
        <f>'Transp. Camión con Acoplado'!A*(E36/60)</f>
        <v>0</v>
      </c>
      <c r="I36" s="390">
        <f>'Transp. Camión con Acoplado'!B*(E36/60)</f>
        <v>0</v>
      </c>
      <c r="J36" s="390">
        <f>'Transp. Camión con Acoplado'!C_*(C36/60)</f>
        <v>0</v>
      </c>
      <c r="K36" s="390">
        <f>'Transp. Camión con Acoplado'!D*(E36/60)</f>
        <v>0</v>
      </c>
      <c r="L36" s="390">
        <f>'Transp. Camión con Acoplado'!E*(E36/60)</f>
        <v>0</v>
      </c>
      <c r="M36" s="390">
        <f>'Transp. Camión con Acoplado'!F_*G36</f>
        <v>0</v>
      </c>
      <c r="N36" s="390">
        <f t="shared" si="2"/>
        <v>0</v>
      </c>
      <c r="O36" s="390">
        <f>+G36*'Transp. Camión con Acoplado'!G</f>
        <v>0</v>
      </c>
      <c r="P36" s="391">
        <f t="shared" si="5"/>
        <v>0</v>
      </c>
      <c r="R36" s="392"/>
    </row>
    <row r="37" spans="1:18" ht="15" customHeight="1">
      <c r="A37" s="384">
        <v>90</v>
      </c>
      <c r="B37" s="393"/>
      <c r="C37" s="386">
        <f t="shared" si="3"/>
        <v>0</v>
      </c>
      <c r="D37" s="386"/>
      <c r="E37" s="386">
        <f t="shared" si="0"/>
        <v>0</v>
      </c>
      <c r="F37" s="394">
        <f t="shared" si="4"/>
        <v>0</v>
      </c>
      <c r="G37" s="389">
        <f t="shared" si="1"/>
        <v>180</v>
      </c>
      <c r="H37" s="390">
        <f>'Transp. Camión con Acoplado'!A*(E37/60)</f>
        <v>0</v>
      </c>
      <c r="I37" s="390">
        <f>'Transp. Camión con Acoplado'!B*(E37/60)</f>
        <v>0</v>
      </c>
      <c r="J37" s="390">
        <f>'Transp. Camión con Acoplado'!C_*(C37/60)</f>
        <v>0</v>
      </c>
      <c r="K37" s="390">
        <f>'Transp. Camión con Acoplado'!D*(E37/60)</f>
        <v>0</v>
      </c>
      <c r="L37" s="390">
        <f>'Transp. Camión con Acoplado'!E*(E37/60)</f>
        <v>0</v>
      </c>
      <c r="M37" s="390">
        <f>'Transp. Camión con Acoplado'!F_*G37</f>
        <v>0</v>
      </c>
      <c r="N37" s="390">
        <f t="shared" si="2"/>
        <v>0</v>
      </c>
      <c r="O37" s="390">
        <f>+G37*'Transp. Camión con Acoplado'!G</f>
        <v>0</v>
      </c>
      <c r="P37" s="391">
        <f t="shared" si="5"/>
        <v>0</v>
      </c>
      <c r="R37" s="392"/>
    </row>
    <row r="38" spans="1:18" ht="15" customHeight="1">
      <c r="A38" s="384">
        <v>95</v>
      </c>
      <c r="B38" s="393"/>
      <c r="C38" s="386">
        <f t="shared" si="3"/>
        <v>0</v>
      </c>
      <c r="D38" s="386"/>
      <c r="E38" s="386">
        <f t="shared" si="0"/>
        <v>0</v>
      </c>
      <c r="F38" s="394">
        <f t="shared" si="4"/>
        <v>0</v>
      </c>
      <c r="G38" s="389">
        <f t="shared" si="1"/>
        <v>190</v>
      </c>
      <c r="H38" s="390">
        <f>'Transp. Camión con Acoplado'!A*(E38/60)</f>
        <v>0</v>
      </c>
      <c r="I38" s="390">
        <f>'Transp. Camión con Acoplado'!B*(E38/60)</f>
        <v>0</v>
      </c>
      <c r="J38" s="390">
        <f>'Transp. Camión con Acoplado'!C_*(C38/60)</f>
        <v>0</v>
      </c>
      <c r="K38" s="390">
        <f>'Transp. Camión con Acoplado'!D*(E38/60)</f>
        <v>0</v>
      </c>
      <c r="L38" s="390">
        <f>'Transp. Camión con Acoplado'!E*(E38/60)</f>
        <v>0</v>
      </c>
      <c r="M38" s="390">
        <f>'Transp. Camión con Acoplado'!F_*G38</f>
        <v>0</v>
      </c>
      <c r="N38" s="390">
        <f t="shared" si="2"/>
        <v>0</v>
      </c>
      <c r="O38" s="390">
        <f>+G38*'Transp. Camión con Acoplado'!G</f>
        <v>0</v>
      </c>
      <c r="P38" s="391">
        <f t="shared" si="5"/>
        <v>0</v>
      </c>
      <c r="R38" s="392"/>
    </row>
    <row r="39" spans="1:18" ht="15" customHeight="1">
      <c r="A39" s="384">
        <v>100</v>
      </c>
      <c r="B39" s="393"/>
      <c r="C39" s="386">
        <f t="shared" si="3"/>
        <v>0</v>
      </c>
      <c r="D39" s="386"/>
      <c r="E39" s="386">
        <f t="shared" si="0"/>
        <v>0</v>
      </c>
      <c r="F39" s="394">
        <f t="shared" si="4"/>
        <v>0</v>
      </c>
      <c r="G39" s="389">
        <f t="shared" si="1"/>
        <v>200</v>
      </c>
      <c r="H39" s="390">
        <f>'Transp. Camión con Acoplado'!A*(E39/60)</f>
        <v>0</v>
      </c>
      <c r="I39" s="390">
        <f>'Transp. Camión con Acoplado'!B*(E39/60)</f>
        <v>0</v>
      </c>
      <c r="J39" s="390">
        <f>'Transp. Camión con Acoplado'!C_*(C39/60)</f>
        <v>0</v>
      </c>
      <c r="K39" s="390">
        <f>'Transp. Camión con Acoplado'!D*(E39/60)</f>
        <v>0</v>
      </c>
      <c r="L39" s="390">
        <f>'Transp. Camión con Acoplado'!E*(E39/60)</f>
        <v>0</v>
      </c>
      <c r="M39" s="390">
        <f>'Transp. Camión con Acoplado'!F_*G39</f>
        <v>0</v>
      </c>
      <c r="N39" s="390">
        <f t="shared" si="2"/>
        <v>0</v>
      </c>
      <c r="O39" s="390">
        <f>+G39*'Transp. Camión con Acoplado'!G</f>
        <v>0</v>
      </c>
      <c r="P39" s="391">
        <f t="shared" si="5"/>
        <v>0</v>
      </c>
      <c r="R39" s="392"/>
    </row>
    <row r="40" spans="1:18" ht="15" customHeight="1">
      <c r="A40" s="384">
        <v>105</v>
      </c>
      <c r="B40" s="393"/>
      <c r="C40" s="386">
        <f t="shared" si="3"/>
        <v>0</v>
      </c>
      <c r="D40" s="386"/>
      <c r="E40" s="386">
        <f t="shared" si="0"/>
        <v>0</v>
      </c>
      <c r="F40" s="394">
        <f t="shared" si="4"/>
        <v>0</v>
      </c>
      <c r="G40" s="389">
        <f t="shared" si="1"/>
        <v>210</v>
      </c>
      <c r="H40" s="390">
        <f>'Transp. Camión con Acoplado'!A*(E40/60)</f>
        <v>0</v>
      </c>
      <c r="I40" s="390">
        <f>'Transp. Camión con Acoplado'!B*(E40/60)</f>
        <v>0</v>
      </c>
      <c r="J40" s="390">
        <f>'Transp. Camión con Acoplado'!C_*(C40/60)</f>
        <v>0</v>
      </c>
      <c r="K40" s="390">
        <f>'Transp. Camión con Acoplado'!D*(E40/60)</f>
        <v>0</v>
      </c>
      <c r="L40" s="390">
        <f>'Transp. Camión con Acoplado'!E*(E40/60)</f>
        <v>0</v>
      </c>
      <c r="M40" s="390">
        <f>'Transp. Camión con Acoplado'!F_*G40</f>
        <v>0</v>
      </c>
      <c r="N40" s="390">
        <f t="shared" si="2"/>
        <v>0</v>
      </c>
      <c r="O40" s="390">
        <f>+G40*'Transp. Camión con Acoplado'!G</f>
        <v>0</v>
      </c>
      <c r="P40" s="391">
        <f t="shared" si="5"/>
        <v>0</v>
      </c>
      <c r="R40" s="392"/>
    </row>
    <row r="41" spans="1:18" ht="15" customHeight="1">
      <c r="A41" s="384">
        <v>110</v>
      </c>
      <c r="B41" s="393"/>
      <c r="C41" s="386">
        <f t="shared" si="3"/>
        <v>0</v>
      </c>
      <c r="D41" s="386"/>
      <c r="E41" s="386">
        <f t="shared" si="0"/>
        <v>0</v>
      </c>
      <c r="F41" s="394">
        <f t="shared" si="4"/>
        <v>0</v>
      </c>
      <c r="G41" s="389">
        <f t="shared" si="1"/>
        <v>220</v>
      </c>
      <c r="H41" s="390">
        <f>'Transp. Camión con Acoplado'!A*(E41/60)</f>
        <v>0</v>
      </c>
      <c r="I41" s="390">
        <f>'Transp. Camión con Acoplado'!B*(E41/60)</f>
        <v>0</v>
      </c>
      <c r="J41" s="390">
        <f>'Transp. Camión con Acoplado'!C_*(C41/60)</f>
        <v>0</v>
      </c>
      <c r="K41" s="390">
        <f>'Transp. Camión con Acoplado'!D*(E41/60)</f>
        <v>0</v>
      </c>
      <c r="L41" s="390">
        <f>'Transp. Camión con Acoplado'!E*(E41/60)</f>
        <v>0</v>
      </c>
      <c r="M41" s="390">
        <f>'Transp. Camión con Acoplado'!F_*G41</f>
        <v>0</v>
      </c>
      <c r="N41" s="390">
        <f t="shared" si="2"/>
        <v>0</v>
      </c>
      <c r="O41" s="390">
        <f>+G41*'Transp. Camión con Acoplado'!G</f>
        <v>0</v>
      </c>
      <c r="P41" s="391">
        <f t="shared" si="5"/>
        <v>0</v>
      </c>
      <c r="R41" s="392"/>
    </row>
    <row r="42" spans="1:18" ht="15" customHeight="1">
      <c r="A42" s="384">
        <v>120</v>
      </c>
      <c r="B42" s="393"/>
      <c r="C42" s="386">
        <f t="shared" si="3"/>
        <v>0</v>
      </c>
      <c r="D42" s="386"/>
      <c r="E42" s="386">
        <f t="shared" si="0"/>
        <v>0</v>
      </c>
      <c r="F42" s="394">
        <f t="shared" si="4"/>
        <v>0</v>
      </c>
      <c r="G42" s="389">
        <f t="shared" si="1"/>
        <v>240</v>
      </c>
      <c r="H42" s="390">
        <f>'Transp. Camión con Acoplado'!A*(E42/60)</f>
        <v>0</v>
      </c>
      <c r="I42" s="390">
        <f>'Transp. Camión con Acoplado'!B*(E42/60)</f>
        <v>0</v>
      </c>
      <c r="J42" s="390">
        <f>'Transp. Camión con Acoplado'!C_*(C42/60)</f>
        <v>0</v>
      </c>
      <c r="K42" s="390">
        <f>'Transp. Camión con Acoplado'!D*(E42/60)</f>
        <v>0</v>
      </c>
      <c r="L42" s="390">
        <f>'Transp. Camión con Acoplado'!E*(E42/60)</f>
        <v>0</v>
      </c>
      <c r="M42" s="390">
        <f>'Transp. Camión con Acoplado'!F_*G42</f>
        <v>0</v>
      </c>
      <c r="N42" s="390">
        <f t="shared" si="2"/>
        <v>0</v>
      </c>
      <c r="O42" s="390">
        <f>+G42*'Transp. Camión con Acoplado'!G</f>
        <v>0</v>
      </c>
      <c r="P42" s="391">
        <f t="shared" si="5"/>
        <v>0</v>
      </c>
      <c r="R42" s="392"/>
    </row>
    <row r="43" spans="1:18" ht="15" customHeight="1">
      <c r="A43" s="384">
        <v>130</v>
      </c>
      <c r="B43" s="393"/>
      <c r="C43" s="386">
        <f t="shared" si="3"/>
        <v>0</v>
      </c>
      <c r="D43" s="386"/>
      <c r="E43" s="386">
        <f t="shared" si="0"/>
        <v>0</v>
      </c>
      <c r="F43" s="394">
        <f t="shared" si="4"/>
        <v>0</v>
      </c>
      <c r="G43" s="389">
        <f t="shared" si="1"/>
        <v>260</v>
      </c>
      <c r="H43" s="390">
        <f>'Transp. Camión con Acoplado'!A*(E43/60)</f>
        <v>0</v>
      </c>
      <c r="I43" s="390">
        <f>'Transp. Camión con Acoplado'!B*(E43/60)</f>
        <v>0</v>
      </c>
      <c r="J43" s="390">
        <f>'Transp. Camión con Acoplado'!C_*(C43/60)</f>
        <v>0</v>
      </c>
      <c r="K43" s="390">
        <f>'Transp. Camión con Acoplado'!D*(E43/60)</f>
        <v>0</v>
      </c>
      <c r="L43" s="390">
        <f>'Transp. Camión con Acoplado'!E*(E43/60)</f>
        <v>0</v>
      </c>
      <c r="M43" s="390">
        <f>'Transp. Camión con Acoplado'!F_*G43</f>
        <v>0</v>
      </c>
      <c r="N43" s="390">
        <f t="shared" si="2"/>
        <v>0</v>
      </c>
      <c r="O43" s="390">
        <f>+G43*'Transp. Camión con Acoplado'!G</f>
        <v>0</v>
      </c>
      <c r="P43" s="391">
        <f t="shared" si="5"/>
        <v>0</v>
      </c>
      <c r="R43" s="392"/>
    </row>
    <row r="44" spans="1:18" ht="15" customHeight="1">
      <c r="A44" s="384">
        <v>140</v>
      </c>
      <c r="B44" s="393"/>
      <c r="C44" s="386">
        <f t="shared" si="3"/>
        <v>0</v>
      </c>
      <c r="D44" s="386"/>
      <c r="E44" s="386">
        <f t="shared" si="0"/>
        <v>0</v>
      </c>
      <c r="F44" s="394">
        <f t="shared" si="4"/>
        <v>0</v>
      </c>
      <c r="G44" s="389">
        <f t="shared" si="1"/>
        <v>280</v>
      </c>
      <c r="H44" s="390">
        <f>'Transp. Camión con Acoplado'!A*(E44/60)</f>
        <v>0</v>
      </c>
      <c r="I44" s="390">
        <f>'Transp. Camión con Acoplado'!B*(E44/60)</f>
        <v>0</v>
      </c>
      <c r="J44" s="390">
        <f>'Transp. Camión con Acoplado'!C_*(C44/60)</f>
        <v>0</v>
      </c>
      <c r="K44" s="390">
        <f>'Transp. Camión con Acoplado'!D*(E44/60)</f>
        <v>0</v>
      </c>
      <c r="L44" s="390">
        <f>'Transp. Camión con Acoplado'!E*(E44/60)</f>
        <v>0</v>
      </c>
      <c r="M44" s="390">
        <f>'Transp. Camión con Acoplado'!F_*G44</f>
        <v>0</v>
      </c>
      <c r="N44" s="390">
        <f t="shared" si="2"/>
        <v>0</v>
      </c>
      <c r="O44" s="390">
        <f>+G44*'Transp. Camión con Acoplado'!G</f>
        <v>0</v>
      </c>
      <c r="P44" s="391">
        <f t="shared" si="5"/>
        <v>0</v>
      </c>
      <c r="R44" s="392"/>
    </row>
    <row r="45" spans="1:18" ht="15" customHeight="1">
      <c r="A45" s="384">
        <v>150</v>
      </c>
      <c r="B45" s="393"/>
      <c r="C45" s="386">
        <f t="shared" si="3"/>
        <v>0</v>
      </c>
      <c r="D45" s="386"/>
      <c r="E45" s="386">
        <f t="shared" si="0"/>
        <v>0</v>
      </c>
      <c r="F45" s="394">
        <f t="shared" si="4"/>
        <v>0</v>
      </c>
      <c r="G45" s="389">
        <f t="shared" si="1"/>
        <v>300</v>
      </c>
      <c r="H45" s="390">
        <f>'Transp. Camión con Acoplado'!A*(E45/60)</f>
        <v>0</v>
      </c>
      <c r="I45" s="390">
        <f>'Transp. Camión con Acoplado'!B*(E45/60)</f>
        <v>0</v>
      </c>
      <c r="J45" s="390">
        <f>'Transp. Camión con Acoplado'!C_*(C45/60)</f>
        <v>0</v>
      </c>
      <c r="K45" s="390">
        <f>'Transp. Camión con Acoplado'!D*(E45/60)</f>
        <v>0</v>
      </c>
      <c r="L45" s="390">
        <f>'Transp. Camión con Acoplado'!E*(E45/60)</f>
        <v>0</v>
      </c>
      <c r="M45" s="390">
        <f>'Transp. Camión con Acoplado'!F_*G45</f>
        <v>0</v>
      </c>
      <c r="N45" s="390">
        <f t="shared" si="2"/>
        <v>0</v>
      </c>
      <c r="O45" s="390">
        <f>+G45*'Transp. Camión con Acoplado'!G</f>
        <v>0</v>
      </c>
      <c r="P45" s="391">
        <f t="shared" si="5"/>
        <v>0</v>
      </c>
      <c r="R45" s="392"/>
    </row>
    <row r="46" spans="1:18" ht="15" customHeight="1">
      <c r="A46" s="384">
        <v>160</v>
      </c>
      <c r="B46" s="393"/>
      <c r="C46" s="386">
        <f t="shared" si="3"/>
        <v>0</v>
      </c>
      <c r="D46" s="386"/>
      <c r="E46" s="386">
        <f t="shared" si="0"/>
        <v>0</v>
      </c>
      <c r="F46" s="394">
        <f t="shared" si="4"/>
        <v>0</v>
      </c>
      <c r="G46" s="389">
        <f t="shared" si="1"/>
        <v>320</v>
      </c>
      <c r="H46" s="390">
        <f>'Transp. Camión con Acoplado'!A*(E46/60)</f>
        <v>0</v>
      </c>
      <c r="I46" s="390">
        <f>'Transp. Camión con Acoplado'!B*(E46/60)</f>
        <v>0</v>
      </c>
      <c r="J46" s="390">
        <f>'Transp. Camión con Acoplado'!C_*(C46/60)</f>
        <v>0</v>
      </c>
      <c r="K46" s="390">
        <f>'Transp. Camión con Acoplado'!D*(E46/60)</f>
        <v>0</v>
      </c>
      <c r="L46" s="390">
        <f>'Transp. Camión con Acoplado'!E*(E46/60)</f>
        <v>0</v>
      </c>
      <c r="M46" s="390">
        <f>'Transp. Camión con Acoplado'!F_*G46</f>
        <v>0</v>
      </c>
      <c r="N46" s="390">
        <f t="shared" si="2"/>
        <v>0</v>
      </c>
      <c r="O46" s="390">
        <f>+G46*'Transp. Camión con Acoplado'!G</f>
        <v>0</v>
      </c>
      <c r="P46" s="391">
        <f t="shared" si="5"/>
        <v>0</v>
      </c>
      <c r="R46" s="392"/>
    </row>
    <row r="47" spans="1:18" ht="15" customHeight="1">
      <c r="A47" s="384">
        <v>170</v>
      </c>
      <c r="B47" s="393"/>
      <c r="C47" s="386">
        <f t="shared" si="3"/>
        <v>0</v>
      </c>
      <c r="D47" s="386"/>
      <c r="E47" s="386">
        <f t="shared" si="0"/>
        <v>0</v>
      </c>
      <c r="F47" s="394">
        <f t="shared" si="4"/>
        <v>0</v>
      </c>
      <c r="G47" s="389">
        <f t="shared" si="1"/>
        <v>340</v>
      </c>
      <c r="H47" s="390">
        <f>'Transp. Camión con Acoplado'!A*(E47/60)</f>
        <v>0</v>
      </c>
      <c r="I47" s="390">
        <f>'Transp. Camión con Acoplado'!B*(E47/60)</f>
        <v>0</v>
      </c>
      <c r="J47" s="390">
        <f>'Transp. Camión con Acoplado'!C_*(C47/60)</f>
        <v>0</v>
      </c>
      <c r="K47" s="390">
        <f>'Transp. Camión con Acoplado'!D*(E47/60)</f>
        <v>0</v>
      </c>
      <c r="L47" s="390">
        <f>'Transp. Camión con Acoplado'!E*(E47/60)</f>
        <v>0</v>
      </c>
      <c r="M47" s="390">
        <f>'Transp. Camión con Acoplado'!F_*G47</f>
        <v>0</v>
      </c>
      <c r="N47" s="390">
        <f t="shared" si="2"/>
        <v>0</v>
      </c>
      <c r="O47" s="390">
        <f>+G47*'Transp. Camión con Acoplado'!G</f>
        <v>0</v>
      </c>
      <c r="P47" s="391">
        <f t="shared" si="5"/>
        <v>0</v>
      </c>
      <c r="R47" s="392"/>
    </row>
    <row r="48" spans="1:18" ht="15" customHeight="1">
      <c r="A48" s="384">
        <v>180</v>
      </c>
      <c r="B48" s="393"/>
      <c r="C48" s="386">
        <f t="shared" si="3"/>
        <v>0</v>
      </c>
      <c r="D48" s="386"/>
      <c r="E48" s="386">
        <f t="shared" si="0"/>
        <v>0</v>
      </c>
      <c r="F48" s="394">
        <f t="shared" si="4"/>
        <v>0</v>
      </c>
      <c r="G48" s="389">
        <f t="shared" si="1"/>
        <v>360</v>
      </c>
      <c r="H48" s="390">
        <f>'Transp. Camión con Acoplado'!A*(E48/60)</f>
        <v>0</v>
      </c>
      <c r="I48" s="390">
        <f>'Transp. Camión con Acoplado'!B*(E48/60)</f>
        <v>0</v>
      </c>
      <c r="J48" s="390">
        <f>'Transp. Camión con Acoplado'!C_*(C48/60)</f>
        <v>0</v>
      </c>
      <c r="K48" s="390">
        <f>'Transp. Camión con Acoplado'!D*(E48/60)</f>
        <v>0</v>
      </c>
      <c r="L48" s="390">
        <f>'Transp. Camión con Acoplado'!E*(E48/60)</f>
        <v>0</v>
      </c>
      <c r="M48" s="390">
        <f>'Transp. Camión con Acoplado'!F_*G48</f>
        <v>0</v>
      </c>
      <c r="N48" s="390">
        <f t="shared" si="2"/>
        <v>0</v>
      </c>
      <c r="O48" s="390">
        <f>+G48*'Transp. Camión con Acoplado'!G</f>
        <v>0</v>
      </c>
      <c r="P48" s="391">
        <f t="shared" si="5"/>
        <v>0</v>
      </c>
      <c r="R48" s="392"/>
    </row>
    <row r="49" spans="1:18" ht="15" customHeight="1">
      <c r="A49" s="384">
        <v>200</v>
      </c>
      <c r="B49" s="393"/>
      <c r="C49" s="386">
        <f t="shared" si="3"/>
        <v>0</v>
      </c>
      <c r="D49" s="386"/>
      <c r="E49" s="386">
        <f t="shared" si="0"/>
        <v>0</v>
      </c>
      <c r="F49" s="394">
        <f t="shared" si="4"/>
        <v>0</v>
      </c>
      <c r="G49" s="389">
        <f t="shared" si="1"/>
        <v>400</v>
      </c>
      <c r="H49" s="390">
        <f>'Transp. Camión con Acoplado'!A*(E49/60)</f>
        <v>0</v>
      </c>
      <c r="I49" s="390">
        <f>'Transp. Camión con Acoplado'!B*(E49/60)</f>
        <v>0</v>
      </c>
      <c r="J49" s="390">
        <f>'Transp. Camión con Acoplado'!C_*(C49/60)</f>
        <v>0</v>
      </c>
      <c r="K49" s="390">
        <f>'Transp. Camión con Acoplado'!D*(E49/60)</f>
        <v>0</v>
      </c>
      <c r="L49" s="390">
        <f>'Transp. Camión con Acoplado'!E*(E49/60)</f>
        <v>0</v>
      </c>
      <c r="M49" s="390">
        <f>'Transp. Camión con Acoplado'!F_*G49</f>
        <v>0</v>
      </c>
      <c r="N49" s="390">
        <f t="shared" si="2"/>
        <v>0</v>
      </c>
      <c r="O49" s="390">
        <f>+G49*'Transp. Camión con Acoplado'!G</f>
        <v>0</v>
      </c>
      <c r="P49" s="391">
        <f t="shared" si="5"/>
        <v>0</v>
      </c>
      <c r="R49" s="392"/>
    </row>
    <row r="50" spans="1:18" ht="15" customHeight="1">
      <c r="A50" s="384">
        <v>225</v>
      </c>
      <c r="B50" s="393"/>
      <c r="C50" s="386">
        <f t="shared" si="3"/>
        <v>0</v>
      </c>
      <c r="D50" s="386"/>
      <c r="E50" s="386">
        <f t="shared" si="0"/>
        <v>0</v>
      </c>
      <c r="F50" s="394">
        <f t="shared" si="4"/>
        <v>0</v>
      </c>
      <c r="G50" s="389">
        <f t="shared" si="1"/>
        <v>450</v>
      </c>
      <c r="H50" s="390">
        <f>'Transp. Camión con Acoplado'!A*(E50/60)</f>
        <v>0</v>
      </c>
      <c r="I50" s="390">
        <f>'Transp. Camión con Acoplado'!B*(E50/60)</f>
        <v>0</v>
      </c>
      <c r="J50" s="390">
        <f>'Transp. Camión con Acoplado'!C_*(C50/60)</f>
        <v>0</v>
      </c>
      <c r="K50" s="390">
        <f>'Transp. Camión con Acoplado'!D*(E50/60)</f>
        <v>0</v>
      </c>
      <c r="L50" s="390">
        <f>'Transp. Camión con Acoplado'!E*(E50/60)</f>
        <v>0</v>
      </c>
      <c r="M50" s="390">
        <f>'Transp. Camión con Acoplado'!F_*G50</f>
        <v>0</v>
      </c>
      <c r="N50" s="390">
        <f t="shared" si="2"/>
        <v>0</v>
      </c>
      <c r="O50" s="390">
        <f>+G50*'Transp. Camión con Acoplado'!G</f>
        <v>0</v>
      </c>
      <c r="P50" s="391">
        <f t="shared" si="5"/>
        <v>0</v>
      </c>
      <c r="R50" s="392"/>
    </row>
    <row r="51" spans="1:18" ht="15" customHeight="1">
      <c r="A51" s="384">
        <v>250</v>
      </c>
      <c r="B51" s="393"/>
      <c r="C51" s="386">
        <f t="shared" si="3"/>
        <v>0</v>
      </c>
      <c r="D51" s="386"/>
      <c r="E51" s="386">
        <f t="shared" si="0"/>
        <v>0</v>
      </c>
      <c r="F51" s="394">
        <f t="shared" si="4"/>
        <v>0</v>
      </c>
      <c r="G51" s="389">
        <f t="shared" si="1"/>
        <v>500</v>
      </c>
      <c r="H51" s="390">
        <f>'Transp. Camión con Acoplado'!A*(E51/60)</f>
        <v>0</v>
      </c>
      <c r="I51" s="390">
        <f>'Transp. Camión con Acoplado'!B*(E51/60)</f>
        <v>0</v>
      </c>
      <c r="J51" s="390">
        <f>'Transp. Camión con Acoplado'!C_*(C51/60)</f>
        <v>0</v>
      </c>
      <c r="K51" s="390">
        <f>'Transp. Camión con Acoplado'!D*(E51/60)</f>
        <v>0</v>
      </c>
      <c r="L51" s="390">
        <f>'Transp. Camión con Acoplado'!E*(E51/60)</f>
        <v>0</v>
      </c>
      <c r="M51" s="390">
        <f>'Transp. Camión con Acoplado'!F_*G51</f>
        <v>0</v>
      </c>
      <c r="N51" s="390">
        <f t="shared" si="2"/>
        <v>0</v>
      </c>
      <c r="O51" s="390">
        <f>+G51*'Transp. Camión con Acoplado'!G</f>
        <v>0</v>
      </c>
      <c r="P51" s="391">
        <f t="shared" si="5"/>
        <v>0</v>
      </c>
      <c r="R51" s="392"/>
    </row>
    <row r="52" spans="1:18" ht="15" customHeight="1">
      <c r="A52" s="384">
        <v>275</v>
      </c>
      <c r="B52" s="393"/>
      <c r="C52" s="386">
        <f t="shared" si="3"/>
        <v>0</v>
      </c>
      <c r="D52" s="386"/>
      <c r="E52" s="386">
        <f t="shared" si="0"/>
        <v>0</v>
      </c>
      <c r="F52" s="394">
        <f t="shared" si="4"/>
        <v>0</v>
      </c>
      <c r="G52" s="389">
        <f t="shared" si="1"/>
        <v>550</v>
      </c>
      <c r="H52" s="390">
        <f>'Transp. Camión con Acoplado'!A*(E52/60)</f>
        <v>0</v>
      </c>
      <c r="I52" s="390">
        <f>'Transp. Camión con Acoplado'!B*(E52/60)</f>
        <v>0</v>
      </c>
      <c r="J52" s="390">
        <f>'Transp. Camión con Acoplado'!C_*(C52/60)</f>
        <v>0</v>
      </c>
      <c r="K52" s="390">
        <f>'Transp. Camión con Acoplado'!D*(E52/60)</f>
        <v>0</v>
      </c>
      <c r="L52" s="390">
        <f>'Transp. Camión con Acoplado'!E*(E52/60)</f>
        <v>0</v>
      </c>
      <c r="M52" s="390">
        <f>'Transp. Camión con Acoplado'!F_*G52</f>
        <v>0</v>
      </c>
      <c r="N52" s="390">
        <f t="shared" si="2"/>
        <v>0</v>
      </c>
      <c r="O52" s="390">
        <f>+G52*'Transp. Camión con Acoplado'!G</f>
        <v>0</v>
      </c>
      <c r="P52" s="391">
        <f t="shared" si="5"/>
        <v>0</v>
      </c>
      <c r="R52" s="392"/>
    </row>
    <row r="53" spans="1:18" ht="15" customHeight="1">
      <c r="A53" s="384">
        <v>300</v>
      </c>
      <c r="B53" s="393"/>
      <c r="C53" s="386">
        <f t="shared" si="3"/>
        <v>0</v>
      </c>
      <c r="D53" s="386"/>
      <c r="E53" s="386">
        <f t="shared" si="0"/>
        <v>0</v>
      </c>
      <c r="F53" s="394">
        <f t="shared" si="4"/>
        <v>0</v>
      </c>
      <c r="G53" s="389">
        <f t="shared" si="1"/>
        <v>600</v>
      </c>
      <c r="H53" s="390">
        <f>'Transp. Camión con Acoplado'!A*(E53/60)</f>
        <v>0</v>
      </c>
      <c r="I53" s="390">
        <f>'Transp. Camión con Acoplado'!B*(E53/60)</f>
        <v>0</v>
      </c>
      <c r="J53" s="390">
        <f>'Transp. Camión con Acoplado'!C_*(C53/60)</f>
        <v>0</v>
      </c>
      <c r="K53" s="390">
        <f>'Transp. Camión con Acoplado'!D*(E53/60)</f>
        <v>0</v>
      </c>
      <c r="L53" s="390">
        <f>'Transp. Camión con Acoplado'!E*(E53/60)</f>
        <v>0</v>
      </c>
      <c r="M53" s="390">
        <f>'Transp. Camión con Acoplado'!F_*G53</f>
        <v>0</v>
      </c>
      <c r="N53" s="390">
        <f t="shared" si="2"/>
        <v>0</v>
      </c>
      <c r="O53" s="390">
        <f>+G53*'Transp. Camión con Acoplado'!G</f>
        <v>0</v>
      </c>
      <c r="P53" s="391">
        <f t="shared" si="5"/>
        <v>0</v>
      </c>
      <c r="R53" s="392"/>
    </row>
    <row r="54" spans="1:18" ht="15" customHeight="1">
      <c r="A54" s="384">
        <v>325</v>
      </c>
      <c r="B54" s="393"/>
      <c r="C54" s="386">
        <f t="shared" si="3"/>
        <v>0</v>
      </c>
      <c r="D54" s="386"/>
      <c r="E54" s="386">
        <f t="shared" si="0"/>
        <v>0</v>
      </c>
      <c r="F54" s="394">
        <f t="shared" si="4"/>
        <v>0</v>
      </c>
      <c r="G54" s="389">
        <f t="shared" si="1"/>
        <v>650</v>
      </c>
      <c r="H54" s="390">
        <f>'Transp. Camión con Acoplado'!A*(E54/60)</f>
        <v>0</v>
      </c>
      <c r="I54" s="390">
        <f>'Transp. Camión con Acoplado'!B*(E54/60)</f>
        <v>0</v>
      </c>
      <c r="J54" s="390">
        <f>'Transp. Camión con Acoplado'!C_*(C54/60)</f>
        <v>0</v>
      </c>
      <c r="K54" s="390">
        <f>'Transp. Camión con Acoplado'!D*(E54/60)</f>
        <v>0</v>
      </c>
      <c r="L54" s="390">
        <f>'Transp. Camión con Acoplado'!E*(E54/60)</f>
        <v>0</v>
      </c>
      <c r="M54" s="390">
        <f>'Transp. Camión con Acoplado'!F_*G54</f>
        <v>0</v>
      </c>
      <c r="N54" s="390">
        <f t="shared" si="2"/>
        <v>0</v>
      </c>
      <c r="O54" s="390">
        <f>+G54*'Transp. Camión con Acoplado'!G</f>
        <v>0</v>
      </c>
      <c r="P54" s="391">
        <f t="shared" si="5"/>
        <v>0</v>
      </c>
      <c r="R54" s="392"/>
    </row>
    <row r="55" spans="1:18" ht="15" customHeight="1">
      <c r="A55" s="384">
        <v>350</v>
      </c>
      <c r="B55" s="393"/>
      <c r="C55" s="386">
        <f t="shared" si="3"/>
        <v>0</v>
      </c>
      <c r="D55" s="386"/>
      <c r="E55" s="386">
        <f t="shared" si="0"/>
        <v>0</v>
      </c>
      <c r="F55" s="394">
        <f t="shared" si="4"/>
        <v>0</v>
      </c>
      <c r="G55" s="389">
        <f t="shared" si="1"/>
        <v>700</v>
      </c>
      <c r="H55" s="390">
        <f>'Transp. Camión con Acoplado'!A*(E55/60)</f>
        <v>0</v>
      </c>
      <c r="I55" s="390">
        <f>'Transp. Camión con Acoplado'!B*(E55/60)</f>
        <v>0</v>
      </c>
      <c r="J55" s="390">
        <f>'Transp. Camión con Acoplado'!C_*(C55/60)</f>
        <v>0</v>
      </c>
      <c r="K55" s="390">
        <f>'Transp. Camión con Acoplado'!D*(E55/60)</f>
        <v>0</v>
      </c>
      <c r="L55" s="390">
        <f>'Transp. Camión con Acoplado'!E*(E55/60)</f>
        <v>0</v>
      </c>
      <c r="M55" s="390">
        <f>'Transp. Camión con Acoplado'!F_*G55</f>
        <v>0</v>
      </c>
      <c r="N55" s="390">
        <f t="shared" si="2"/>
        <v>0</v>
      </c>
      <c r="O55" s="390">
        <f>+G55*'Transp. Camión con Acoplado'!G</f>
        <v>0</v>
      </c>
      <c r="P55" s="391">
        <f t="shared" si="5"/>
        <v>0</v>
      </c>
      <c r="R55" s="392"/>
    </row>
    <row r="56" spans="1:18" ht="15" customHeight="1">
      <c r="A56" s="384">
        <v>375</v>
      </c>
      <c r="B56" s="393"/>
      <c r="C56" s="386">
        <f t="shared" si="3"/>
        <v>0</v>
      </c>
      <c r="D56" s="386"/>
      <c r="E56" s="386">
        <f t="shared" si="0"/>
        <v>0</v>
      </c>
      <c r="F56" s="394">
        <f t="shared" si="4"/>
        <v>0</v>
      </c>
      <c r="G56" s="389">
        <f t="shared" si="1"/>
        <v>750</v>
      </c>
      <c r="H56" s="390">
        <f>'Transp. Camión con Acoplado'!A*(E56/60)</f>
        <v>0</v>
      </c>
      <c r="I56" s="390">
        <f>'Transp. Camión con Acoplado'!B*(E56/60)</f>
        <v>0</v>
      </c>
      <c r="J56" s="390">
        <f>'Transp. Camión con Acoplado'!C_*(C56/60)</f>
        <v>0</v>
      </c>
      <c r="K56" s="390">
        <f>'Transp. Camión con Acoplado'!D*(E56/60)</f>
        <v>0</v>
      </c>
      <c r="L56" s="390">
        <f>'Transp. Camión con Acoplado'!E*(E56/60)</f>
        <v>0</v>
      </c>
      <c r="M56" s="390">
        <f>'Transp. Camión con Acoplado'!F_*G56</f>
        <v>0</v>
      </c>
      <c r="N56" s="390">
        <f t="shared" si="2"/>
        <v>0</v>
      </c>
      <c r="O56" s="390">
        <f>+G56*'Transp. Camión con Acoplado'!G</f>
        <v>0</v>
      </c>
      <c r="P56" s="391">
        <f t="shared" si="5"/>
        <v>0</v>
      </c>
      <c r="R56" s="392"/>
    </row>
    <row r="57" spans="1:18" ht="15" customHeight="1">
      <c r="A57" s="384">
        <v>400</v>
      </c>
      <c r="B57" s="393"/>
      <c r="C57" s="386">
        <f t="shared" si="3"/>
        <v>0</v>
      </c>
      <c r="D57" s="386"/>
      <c r="E57" s="386">
        <f t="shared" si="0"/>
        <v>0</v>
      </c>
      <c r="F57" s="394">
        <f t="shared" si="4"/>
        <v>0</v>
      </c>
      <c r="G57" s="389">
        <f t="shared" si="1"/>
        <v>800</v>
      </c>
      <c r="H57" s="390">
        <f>'Transp. Camión con Acoplado'!A*(E57/60)</f>
        <v>0</v>
      </c>
      <c r="I57" s="390">
        <f>'Transp. Camión con Acoplado'!B*(E57/60)</f>
        <v>0</v>
      </c>
      <c r="J57" s="390">
        <f>'Transp. Camión con Acoplado'!C_*(C57/60)</f>
        <v>0</v>
      </c>
      <c r="K57" s="390">
        <f>'Transp. Camión con Acoplado'!D*(E57/60)</f>
        <v>0</v>
      </c>
      <c r="L57" s="390">
        <f>'Transp. Camión con Acoplado'!E*(E57/60)</f>
        <v>0</v>
      </c>
      <c r="M57" s="390">
        <f>'Transp. Camión con Acoplado'!F_*G57</f>
        <v>0</v>
      </c>
      <c r="N57" s="390">
        <f t="shared" si="2"/>
        <v>0</v>
      </c>
      <c r="O57" s="390">
        <f>+G57*'Transp. Camión con Acoplado'!G</f>
        <v>0</v>
      </c>
      <c r="P57" s="391">
        <f t="shared" si="5"/>
        <v>0</v>
      </c>
      <c r="R57" s="392"/>
    </row>
    <row r="58" spans="1:18" ht="15" customHeight="1">
      <c r="A58" s="384">
        <v>425</v>
      </c>
      <c r="B58" s="393"/>
      <c r="C58" s="386">
        <f t="shared" si="3"/>
        <v>0</v>
      </c>
      <c r="D58" s="386"/>
      <c r="E58" s="386">
        <f t="shared" si="0"/>
        <v>0</v>
      </c>
      <c r="F58" s="394">
        <f t="shared" si="4"/>
        <v>0</v>
      </c>
      <c r="G58" s="389">
        <f t="shared" si="1"/>
        <v>850</v>
      </c>
      <c r="H58" s="390">
        <f>'Transp. Camión con Acoplado'!A*(E58/60)</f>
        <v>0</v>
      </c>
      <c r="I58" s="390">
        <f>'Transp. Camión con Acoplado'!B*(E58/60)</f>
        <v>0</v>
      </c>
      <c r="J58" s="390">
        <f>'Transp. Camión con Acoplado'!C_*(C58/60)</f>
        <v>0</v>
      </c>
      <c r="K58" s="390">
        <f>'Transp. Camión con Acoplado'!D*(E58/60)</f>
        <v>0</v>
      </c>
      <c r="L58" s="390">
        <f>'Transp. Camión con Acoplado'!E*(E58/60)</f>
        <v>0</v>
      </c>
      <c r="M58" s="390">
        <f>'Transp. Camión con Acoplado'!F_*G58</f>
        <v>0</v>
      </c>
      <c r="N58" s="390">
        <f t="shared" si="2"/>
        <v>0</v>
      </c>
      <c r="O58" s="390">
        <f>+G58*'Transp. Camión con Acoplado'!G</f>
        <v>0</v>
      </c>
      <c r="P58" s="391">
        <f t="shared" si="5"/>
        <v>0</v>
      </c>
      <c r="R58" s="392"/>
    </row>
    <row r="59" spans="1:18" ht="15" customHeight="1">
      <c r="A59" s="384">
        <v>450</v>
      </c>
      <c r="B59" s="393"/>
      <c r="C59" s="386">
        <f t="shared" si="3"/>
        <v>0</v>
      </c>
      <c r="D59" s="386"/>
      <c r="E59" s="386">
        <f t="shared" si="0"/>
        <v>0</v>
      </c>
      <c r="F59" s="394">
        <f t="shared" si="4"/>
        <v>0</v>
      </c>
      <c r="G59" s="389">
        <f t="shared" si="1"/>
        <v>900</v>
      </c>
      <c r="H59" s="390">
        <f>'Transp. Camión con Acoplado'!A*(E59/60)</f>
        <v>0</v>
      </c>
      <c r="I59" s="390">
        <f>'Transp. Camión con Acoplado'!B*(E59/60)</f>
        <v>0</v>
      </c>
      <c r="J59" s="390">
        <f>'Transp. Camión con Acoplado'!C_*(C59/60)</f>
        <v>0</v>
      </c>
      <c r="K59" s="390">
        <f>'Transp. Camión con Acoplado'!D*(E59/60)</f>
        <v>0</v>
      </c>
      <c r="L59" s="390">
        <f>'Transp. Camión con Acoplado'!E*(E59/60)</f>
        <v>0</v>
      </c>
      <c r="M59" s="390">
        <f>'Transp. Camión con Acoplado'!F_*G59</f>
        <v>0</v>
      </c>
      <c r="N59" s="390">
        <f t="shared" si="2"/>
        <v>0</v>
      </c>
      <c r="O59" s="390">
        <f>+G59*'Transp. Camión con Acoplado'!G</f>
        <v>0</v>
      </c>
      <c r="P59" s="391">
        <f t="shared" si="5"/>
        <v>0</v>
      </c>
      <c r="R59" s="392"/>
    </row>
    <row r="60" spans="1:18" ht="15" customHeight="1">
      <c r="A60" s="384">
        <v>475</v>
      </c>
      <c r="B60" s="393"/>
      <c r="C60" s="386">
        <f t="shared" si="3"/>
        <v>0</v>
      </c>
      <c r="D60" s="386"/>
      <c r="E60" s="386">
        <f t="shared" si="0"/>
        <v>0</v>
      </c>
      <c r="F60" s="394">
        <f t="shared" si="4"/>
        <v>0</v>
      </c>
      <c r="G60" s="389">
        <f t="shared" si="1"/>
        <v>950</v>
      </c>
      <c r="H60" s="390">
        <f>'Transp. Camión con Acoplado'!A*(E60/60)</f>
        <v>0</v>
      </c>
      <c r="I60" s="390">
        <f>'Transp. Camión con Acoplado'!B*(E60/60)</f>
        <v>0</v>
      </c>
      <c r="J60" s="390">
        <f>'Transp. Camión con Acoplado'!C_*(C60/60)</f>
        <v>0</v>
      </c>
      <c r="K60" s="390">
        <f>'Transp. Camión con Acoplado'!D*(E60/60)</f>
        <v>0</v>
      </c>
      <c r="L60" s="390">
        <f>'Transp. Camión con Acoplado'!E*(E60/60)</f>
        <v>0</v>
      </c>
      <c r="M60" s="390">
        <f>'Transp. Camión con Acoplado'!F_*G60</f>
        <v>0</v>
      </c>
      <c r="N60" s="390">
        <f t="shared" si="2"/>
        <v>0</v>
      </c>
      <c r="O60" s="390">
        <f>+G60*'Transp. Camión con Acoplado'!G</f>
        <v>0</v>
      </c>
      <c r="P60" s="391">
        <f t="shared" si="5"/>
        <v>0</v>
      </c>
      <c r="R60" s="392"/>
    </row>
    <row r="61" spans="1:18" ht="15" customHeight="1">
      <c r="A61" s="384">
        <v>500</v>
      </c>
      <c r="B61" s="393"/>
      <c r="C61" s="386">
        <f t="shared" si="3"/>
        <v>0</v>
      </c>
      <c r="D61" s="386"/>
      <c r="E61" s="386">
        <f t="shared" si="0"/>
        <v>0</v>
      </c>
      <c r="F61" s="394">
        <f t="shared" si="4"/>
        <v>0</v>
      </c>
      <c r="G61" s="389">
        <f t="shared" si="1"/>
        <v>1000</v>
      </c>
      <c r="H61" s="390">
        <f>'Transp. Camión con Acoplado'!A*(E61/60)</f>
        <v>0</v>
      </c>
      <c r="I61" s="390">
        <f>'Transp. Camión con Acoplado'!B*(E61/60)</f>
        <v>0</v>
      </c>
      <c r="J61" s="390">
        <f>'Transp. Camión con Acoplado'!C_*(C61/60)</f>
        <v>0</v>
      </c>
      <c r="K61" s="390">
        <f>'Transp. Camión con Acoplado'!D*(E61/60)</f>
        <v>0</v>
      </c>
      <c r="L61" s="390">
        <f>'Transp. Camión con Acoplado'!E*(E61/60)</f>
        <v>0</v>
      </c>
      <c r="M61" s="390">
        <f>'Transp. Camión con Acoplado'!F_*G61</f>
        <v>0</v>
      </c>
      <c r="N61" s="390">
        <f t="shared" si="2"/>
        <v>0</v>
      </c>
      <c r="O61" s="390">
        <f>+G61*'Transp. Camión con Acoplado'!G</f>
        <v>0</v>
      </c>
      <c r="P61" s="391">
        <f t="shared" si="5"/>
        <v>0</v>
      </c>
      <c r="R61" s="392"/>
    </row>
    <row r="62" spans="1:18" ht="15" customHeight="1">
      <c r="A62" s="384">
        <v>600</v>
      </c>
      <c r="B62" s="393"/>
      <c r="C62" s="386">
        <f t="shared" si="3"/>
        <v>0</v>
      </c>
      <c r="D62" s="386"/>
      <c r="E62" s="386">
        <f t="shared" si="0"/>
        <v>0</v>
      </c>
      <c r="F62" s="394">
        <f t="shared" si="4"/>
        <v>0</v>
      </c>
      <c r="G62" s="389">
        <f t="shared" si="1"/>
        <v>1200</v>
      </c>
      <c r="H62" s="390">
        <f>'Transp. Camión con Acoplado'!A*(E62/60)</f>
        <v>0</v>
      </c>
      <c r="I62" s="390">
        <f>'Transp. Camión con Acoplado'!B*(E62/60)</f>
        <v>0</v>
      </c>
      <c r="J62" s="390">
        <f>'Transp. Camión con Acoplado'!C_*(C62/60)</f>
        <v>0</v>
      </c>
      <c r="K62" s="390">
        <f>'Transp. Camión con Acoplado'!D*(E62/60)</f>
        <v>0</v>
      </c>
      <c r="L62" s="390">
        <f>'Transp. Camión con Acoplado'!E*(E62/60)</f>
        <v>0</v>
      </c>
      <c r="M62" s="390">
        <f>'Transp. Camión con Acoplado'!F_*G62</f>
        <v>0</v>
      </c>
      <c r="N62" s="390">
        <f t="shared" si="2"/>
        <v>0</v>
      </c>
      <c r="O62" s="390">
        <f>+G62*'Transp. Camión con Acoplado'!G</f>
        <v>0</v>
      </c>
      <c r="P62" s="391">
        <f t="shared" si="5"/>
        <v>0</v>
      </c>
      <c r="R62" s="392"/>
    </row>
    <row r="63" spans="1:18" ht="15" customHeight="1">
      <c r="A63" s="384">
        <v>800</v>
      </c>
      <c r="B63" s="393"/>
      <c r="C63" s="386">
        <f t="shared" si="3"/>
        <v>0</v>
      </c>
      <c r="D63" s="386"/>
      <c r="E63" s="386">
        <f t="shared" si="0"/>
        <v>0</v>
      </c>
      <c r="F63" s="394">
        <f t="shared" si="4"/>
        <v>0</v>
      </c>
      <c r="G63" s="389">
        <f t="shared" si="1"/>
        <v>1600</v>
      </c>
      <c r="H63" s="390">
        <f>'Transp. Camión con Acoplado'!A*(E63/60)</f>
        <v>0</v>
      </c>
      <c r="I63" s="390">
        <f>'Transp. Camión con Acoplado'!B*(E63/60)</f>
        <v>0</v>
      </c>
      <c r="J63" s="390">
        <f>'Transp. Camión con Acoplado'!C_*(C63/60)</f>
        <v>0</v>
      </c>
      <c r="K63" s="390">
        <f>'Transp. Camión con Acoplado'!D*(E63/60)</f>
        <v>0</v>
      </c>
      <c r="L63" s="390">
        <f>'Transp. Camión con Acoplado'!E*(E63/60)</f>
        <v>0</v>
      </c>
      <c r="M63" s="390">
        <f>'Transp. Camión con Acoplado'!F_*G63</f>
        <v>0</v>
      </c>
      <c r="N63" s="390">
        <f t="shared" si="2"/>
        <v>0</v>
      </c>
      <c r="O63" s="390">
        <f>+G63*'Transp. Camión con Acoplado'!G</f>
        <v>0</v>
      </c>
      <c r="P63" s="391">
        <f t="shared" si="5"/>
        <v>0</v>
      </c>
      <c r="R63" s="392"/>
    </row>
    <row r="64" spans="1:18" ht="15" customHeight="1">
      <c r="A64" s="384">
        <v>1000</v>
      </c>
      <c r="B64" s="393"/>
      <c r="C64" s="386">
        <f t="shared" si="3"/>
        <v>0</v>
      </c>
      <c r="D64" s="386"/>
      <c r="E64" s="386">
        <f t="shared" si="0"/>
        <v>0</v>
      </c>
      <c r="F64" s="394">
        <f t="shared" si="4"/>
        <v>0</v>
      </c>
      <c r="G64" s="389">
        <f t="shared" si="1"/>
        <v>2000</v>
      </c>
      <c r="H64" s="390">
        <f>'Transp. Camión con Acoplado'!A*(E64/60)</f>
        <v>0</v>
      </c>
      <c r="I64" s="390">
        <f>'Transp. Camión con Acoplado'!B*(E64/60)</f>
        <v>0</v>
      </c>
      <c r="J64" s="390">
        <f>'Transp. Camión con Acoplado'!C_*(C64/60)</f>
        <v>0</v>
      </c>
      <c r="K64" s="390">
        <f>'Transp. Camión con Acoplado'!D*(E64/60)</f>
        <v>0</v>
      </c>
      <c r="L64" s="390">
        <f>'Transp. Camión con Acoplado'!E*(E64/60)</f>
        <v>0</v>
      </c>
      <c r="M64" s="390">
        <f>'Transp. Camión con Acoplado'!F_*G64</f>
        <v>0</v>
      </c>
      <c r="N64" s="390">
        <f t="shared" si="2"/>
        <v>0</v>
      </c>
      <c r="O64" s="390">
        <f>+G64*'Transp. Camión con Acoplado'!G</f>
        <v>0</v>
      </c>
      <c r="P64" s="391">
        <f t="shared" si="5"/>
        <v>0</v>
      </c>
      <c r="R64" s="392"/>
    </row>
    <row r="65" spans="13:16" ht="15" customHeight="1">
      <c r="M65" s="732"/>
      <c r="N65" s="732"/>
      <c r="O65" s="732"/>
      <c r="P65" s="732"/>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968"/>
  <sheetViews>
    <sheetView topLeftCell="A628" workbookViewId="0">
      <selection activeCell="H936" sqref="H936"/>
    </sheetView>
  </sheetViews>
  <sheetFormatPr baseColWidth="10" defaultRowHeight="12.75"/>
  <cols>
    <col min="1" max="1" width="20.7109375" style="537" customWidth="1"/>
    <col min="2" max="4" width="8.7109375" style="538" customWidth="1"/>
    <col min="5" max="5" width="57" style="537" customWidth="1"/>
    <col min="6" max="6" width="15.85546875" style="537" customWidth="1"/>
    <col min="7" max="7" width="16.5703125" style="537" customWidth="1"/>
  </cols>
  <sheetData>
    <row r="1" spans="1:7">
      <c r="A1" s="535"/>
      <c r="B1" s="536" t="s">
        <v>541</v>
      </c>
      <c r="C1" s="536"/>
      <c r="D1" s="536"/>
      <c r="E1" s="535"/>
      <c r="F1" s="535"/>
      <c r="G1" s="535"/>
    </row>
    <row r="3" spans="1:7">
      <c r="A3" s="540" t="s">
        <v>342</v>
      </c>
      <c r="B3" s="538" t="s">
        <v>41</v>
      </c>
      <c r="C3" s="540"/>
      <c r="D3" s="540"/>
      <c r="E3" s="733" t="s">
        <v>42</v>
      </c>
      <c r="F3" s="540"/>
      <c r="G3" s="540"/>
    </row>
    <row r="4" spans="1:7">
      <c r="A4" s="539"/>
      <c r="B4" s="538" t="s">
        <v>43</v>
      </c>
      <c r="C4" s="540"/>
      <c r="D4" s="540"/>
      <c r="E4" s="733"/>
      <c r="F4" s="540"/>
      <c r="G4" s="540"/>
    </row>
    <row r="5" spans="1:7">
      <c r="A5" s="536"/>
      <c r="B5" s="536"/>
      <c r="C5" s="536"/>
      <c r="D5" s="536"/>
      <c r="E5" s="536"/>
      <c r="F5" s="536"/>
      <c r="G5" s="536"/>
    </row>
    <row r="6" spans="1:7">
      <c r="A6" s="538" t="str">
        <f t="shared" ref="A6:A69" si="0">CONCATENATE("INDEC-CM - ",B6,C6,D6)</f>
        <v>INDEC-CM - 37210-51</v>
      </c>
      <c r="B6" s="538">
        <v>37210</v>
      </c>
      <c r="C6" s="538" t="s">
        <v>44</v>
      </c>
      <c r="D6" s="538">
        <v>51</v>
      </c>
      <c r="E6" s="537" t="s">
        <v>45</v>
      </c>
    </row>
    <row r="7" spans="1:7">
      <c r="A7" s="538" t="str">
        <f t="shared" si="0"/>
        <v>INDEC-CM - 37210-52</v>
      </c>
      <c r="B7" s="538">
        <v>37210</v>
      </c>
      <c r="C7" s="538" t="s">
        <v>44</v>
      </c>
      <c r="D7" s="538">
        <v>52</v>
      </c>
      <c r="E7" s="537" t="s">
        <v>46</v>
      </c>
    </row>
    <row r="8" spans="1:7">
      <c r="A8" s="538" t="str">
        <f t="shared" si="0"/>
        <v>INDEC-CM - 42911-81</v>
      </c>
      <c r="B8" s="538">
        <v>42911</v>
      </c>
      <c r="C8" s="538" t="s">
        <v>44</v>
      </c>
      <c r="D8" s="538">
        <v>81</v>
      </c>
      <c r="E8" s="542" t="s">
        <v>47</v>
      </c>
      <c r="F8" s="542"/>
      <c r="G8" s="542"/>
    </row>
    <row r="9" spans="1:7">
      <c r="A9" s="538" t="str">
        <f t="shared" si="0"/>
        <v>INDEC-CM - 41242-11</v>
      </c>
      <c r="B9" s="538">
        <v>41242</v>
      </c>
      <c r="C9" s="538" t="s">
        <v>44</v>
      </c>
      <c r="D9" s="538">
        <v>11</v>
      </c>
      <c r="E9" s="542" t="s">
        <v>48</v>
      </c>
      <c r="F9" s="542"/>
      <c r="G9" s="542"/>
    </row>
    <row r="10" spans="1:7">
      <c r="A10" s="538" t="str">
        <f t="shared" si="0"/>
        <v>INDEC-CM - 37440-21</v>
      </c>
      <c r="B10" s="538">
        <v>37440</v>
      </c>
      <c r="C10" s="538" t="s">
        <v>44</v>
      </c>
      <c r="D10" s="538">
        <v>21</v>
      </c>
      <c r="E10" s="537" t="s">
        <v>49</v>
      </c>
    </row>
    <row r="11" spans="1:7">
      <c r="A11" s="538" t="str">
        <f t="shared" si="0"/>
        <v>INDEC-CM - 38130-13</v>
      </c>
      <c r="B11" s="538">
        <v>38130</v>
      </c>
      <c r="C11" s="538" t="s">
        <v>44</v>
      </c>
      <c r="D11" s="538">
        <v>13</v>
      </c>
      <c r="E11" s="542" t="s">
        <v>50</v>
      </c>
      <c r="F11" s="542"/>
      <c r="G11" s="542"/>
    </row>
    <row r="12" spans="1:7">
      <c r="A12" s="538" t="str">
        <f t="shared" si="0"/>
        <v>INDEC-CM - 38130-12</v>
      </c>
      <c r="B12" s="538">
        <v>38130</v>
      </c>
      <c r="C12" s="538" t="s">
        <v>44</v>
      </c>
      <c r="D12" s="538">
        <v>12</v>
      </c>
      <c r="E12" s="542" t="s">
        <v>51</v>
      </c>
      <c r="F12" s="542"/>
      <c r="G12" s="542"/>
    </row>
    <row r="13" spans="1:7">
      <c r="A13" s="538" t="str">
        <f t="shared" si="0"/>
        <v>INDEC-CM - 38130-11</v>
      </c>
      <c r="B13" s="538">
        <v>38130</v>
      </c>
      <c r="C13" s="538" t="s">
        <v>44</v>
      </c>
      <c r="D13" s="538">
        <v>11</v>
      </c>
      <c r="E13" s="542" t="s">
        <v>52</v>
      </c>
      <c r="F13" s="542"/>
      <c r="G13" s="542"/>
    </row>
    <row r="14" spans="1:7">
      <c r="A14" s="538" t="str">
        <f t="shared" si="0"/>
        <v>INDEC-CM - 27230-11</v>
      </c>
      <c r="B14" s="538">
        <v>27230</v>
      </c>
      <c r="C14" s="538" t="s">
        <v>44</v>
      </c>
      <c r="D14" s="538">
        <v>11</v>
      </c>
      <c r="E14" s="542" t="s">
        <v>53</v>
      </c>
      <c r="F14" s="542"/>
      <c r="G14" s="542"/>
    </row>
    <row r="15" spans="1:7">
      <c r="A15" s="538" t="str">
        <f t="shared" si="0"/>
        <v>INDEC-CM - 44821-11</v>
      </c>
      <c r="B15" s="538">
        <v>44821</v>
      </c>
      <c r="C15" s="538" t="s">
        <v>44</v>
      </c>
      <c r="D15" s="538">
        <v>11</v>
      </c>
      <c r="E15" s="537" t="s">
        <v>54</v>
      </c>
    </row>
    <row r="16" spans="1:7">
      <c r="A16" s="538" t="str">
        <f t="shared" si="0"/>
        <v>INDEC-CM - 37560-11</v>
      </c>
      <c r="B16" s="538">
        <v>37560</v>
      </c>
      <c r="C16" s="538" t="s">
        <v>44</v>
      </c>
      <c r="D16" s="538">
        <v>11</v>
      </c>
      <c r="E16" s="542" t="s">
        <v>55</v>
      </c>
      <c r="F16" s="542"/>
      <c r="G16" s="542"/>
    </row>
    <row r="17" spans="1:7">
      <c r="A17" s="538" t="str">
        <f t="shared" si="0"/>
        <v>INDEC-CM - 15400-11</v>
      </c>
      <c r="B17" s="538">
        <v>15400</v>
      </c>
      <c r="C17" s="538" t="s">
        <v>44</v>
      </c>
      <c r="D17" s="538">
        <v>11</v>
      </c>
      <c r="E17" s="542" t="s">
        <v>56</v>
      </c>
      <c r="F17" s="542"/>
      <c r="G17" s="542"/>
    </row>
    <row r="18" spans="1:7">
      <c r="A18" s="538" t="str">
        <f t="shared" si="0"/>
        <v>INDEC-CM - 15310-11</v>
      </c>
      <c r="B18" s="538">
        <v>15310</v>
      </c>
      <c r="C18" s="538" t="s">
        <v>44</v>
      </c>
      <c r="D18" s="538">
        <v>11</v>
      </c>
      <c r="E18" s="537" t="s">
        <v>57</v>
      </c>
    </row>
    <row r="19" spans="1:7">
      <c r="A19" s="538" t="str">
        <f t="shared" si="0"/>
        <v>INDEC-CM - 46531-11</v>
      </c>
      <c r="B19" s="538">
        <v>46531</v>
      </c>
      <c r="C19" s="538" t="s">
        <v>44</v>
      </c>
      <c r="D19" s="538">
        <v>11</v>
      </c>
      <c r="E19" s="542" t="s">
        <v>58</v>
      </c>
      <c r="F19" s="542"/>
      <c r="G19" s="542"/>
    </row>
    <row r="20" spans="1:7">
      <c r="A20" s="538" t="str">
        <f t="shared" si="0"/>
        <v>INDEC-CM - 43540-11</v>
      </c>
      <c r="B20" s="538">
        <v>43540</v>
      </c>
      <c r="C20" s="538" t="s">
        <v>44</v>
      </c>
      <c r="D20" s="538">
        <v>11</v>
      </c>
      <c r="E20" s="537" t="s">
        <v>59</v>
      </c>
    </row>
    <row r="21" spans="1:7">
      <c r="A21" s="538" t="str">
        <f t="shared" si="0"/>
        <v>INDEC-CM - 43540-12</v>
      </c>
      <c r="B21" s="538">
        <v>43540</v>
      </c>
      <c r="C21" s="538" t="s">
        <v>44</v>
      </c>
      <c r="D21" s="538">
        <v>12</v>
      </c>
      <c r="E21" s="537" t="s">
        <v>60</v>
      </c>
    </row>
    <row r="22" spans="1:7">
      <c r="A22" s="543" t="str">
        <f t="shared" si="0"/>
        <v>INDEC-CM - 37370-21</v>
      </c>
      <c r="B22" s="543">
        <v>37370</v>
      </c>
      <c r="C22" s="543" t="s">
        <v>44</v>
      </c>
      <c r="D22" s="543">
        <v>21</v>
      </c>
      <c r="E22" s="544" t="s">
        <v>61</v>
      </c>
      <c r="F22" s="537" t="s">
        <v>2038</v>
      </c>
    </row>
    <row r="23" spans="1:7">
      <c r="A23" s="543" t="str">
        <f t="shared" si="0"/>
        <v>INDEC-CM - 37370-11</v>
      </c>
      <c r="B23" s="543">
        <v>37370</v>
      </c>
      <c r="C23" s="543" t="s">
        <v>44</v>
      </c>
      <c r="D23" s="543">
        <v>11</v>
      </c>
      <c r="E23" s="544" t="s">
        <v>62</v>
      </c>
      <c r="F23" s="537" t="s">
        <v>2038</v>
      </c>
    </row>
    <row r="24" spans="1:7">
      <c r="A24" s="543" t="str">
        <f t="shared" si="0"/>
        <v>INDEC-CM - 37370-12</v>
      </c>
      <c r="B24" s="543">
        <v>37370</v>
      </c>
      <c r="C24" s="543" t="s">
        <v>44</v>
      </c>
      <c r="D24" s="543">
        <v>12</v>
      </c>
      <c r="E24" s="544" t="s">
        <v>63</v>
      </c>
      <c r="F24" s="537" t="s">
        <v>2038</v>
      </c>
    </row>
    <row r="25" spans="1:7">
      <c r="A25" s="538" t="str">
        <f t="shared" si="0"/>
        <v>INDEC-CM - 37690-11</v>
      </c>
      <c r="B25" s="538">
        <v>37690</v>
      </c>
      <c r="C25" s="538" t="s">
        <v>44</v>
      </c>
      <c r="D25" s="538">
        <v>11</v>
      </c>
      <c r="E25" s="537" t="s">
        <v>64</v>
      </c>
    </row>
    <row r="26" spans="1:7">
      <c r="A26" s="538" t="str">
        <f t="shared" si="0"/>
        <v>INDEC-CM - 42911-11</v>
      </c>
      <c r="B26" s="538">
        <v>42911</v>
      </c>
      <c r="C26" s="538" t="s">
        <v>44</v>
      </c>
      <c r="D26" s="538">
        <v>11</v>
      </c>
      <c r="E26" s="537" t="s">
        <v>65</v>
      </c>
    </row>
    <row r="27" spans="1:7">
      <c r="A27" s="538" t="str">
        <f t="shared" si="0"/>
        <v>INDEC-CM - 37129-11</v>
      </c>
      <c r="B27" s="538">
        <v>37129</v>
      </c>
      <c r="C27" s="538" t="s">
        <v>44</v>
      </c>
      <c r="D27" s="538">
        <v>11</v>
      </c>
      <c r="E27" s="537" t="s">
        <v>66</v>
      </c>
    </row>
    <row r="28" spans="1:7">
      <c r="A28" s="538" t="str">
        <f t="shared" si="0"/>
        <v>INDEC-CM - 35110-41</v>
      </c>
      <c r="B28" s="538">
        <v>35110</v>
      </c>
      <c r="C28" s="538" t="s">
        <v>44</v>
      </c>
      <c r="D28" s="538">
        <v>41</v>
      </c>
      <c r="E28" s="537" t="s">
        <v>67</v>
      </c>
    </row>
    <row r="29" spans="1:7">
      <c r="A29" s="538" t="str">
        <f t="shared" si="0"/>
        <v>INDEC-CM - 37210-23</v>
      </c>
      <c r="B29" s="538">
        <v>37210</v>
      </c>
      <c r="C29" s="538" t="s">
        <v>44</v>
      </c>
      <c r="D29" s="538">
        <v>23</v>
      </c>
      <c r="E29" s="537" t="s">
        <v>68</v>
      </c>
    </row>
    <row r="30" spans="1:7">
      <c r="A30" s="538" t="str">
        <f t="shared" si="0"/>
        <v>INDEC-CM - 37210-22</v>
      </c>
      <c r="B30" s="538">
        <v>37210</v>
      </c>
      <c r="C30" s="538" t="s">
        <v>44</v>
      </c>
      <c r="D30" s="538">
        <v>22</v>
      </c>
      <c r="E30" s="537" t="s">
        <v>69</v>
      </c>
    </row>
    <row r="31" spans="1:7">
      <c r="A31" s="538" t="str">
        <f t="shared" si="0"/>
        <v>INDEC-CM - 37210-21</v>
      </c>
      <c r="B31" s="538">
        <v>37210</v>
      </c>
      <c r="C31" s="538" t="s">
        <v>44</v>
      </c>
      <c r="D31" s="538">
        <v>21</v>
      </c>
      <c r="E31" s="537" t="s">
        <v>70</v>
      </c>
    </row>
    <row r="32" spans="1:7">
      <c r="A32" s="538" t="str">
        <f t="shared" si="0"/>
        <v>INDEC-CM - 41543-21</v>
      </c>
      <c r="B32" s="538">
        <v>41543</v>
      </c>
      <c r="C32" s="538" t="s">
        <v>44</v>
      </c>
      <c r="D32" s="538">
        <v>21</v>
      </c>
      <c r="E32" s="537" t="s">
        <v>71</v>
      </c>
    </row>
    <row r="33" spans="1:6">
      <c r="A33" s="538" t="str">
        <f t="shared" si="0"/>
        <v>INDEC-CM - 46340-31</v>
      </c>
      <c r="B33" s="538">
        <v>46340</v>
      </c>
      <c r="C33" s="538" t="s">
        <v>44</v>
      </c>
      <c r="D33" s="538">
        <v>31</v>
      </c>
      <c r="E33" s="537" t="s">
        <v>72</v>
      </c>
    </row>
    <row r="34" spans="1:6">
      <c r="A34" s="538" t="str">
        <f t="shared" si="0"/>
        <v>INDEC-CM - 46320-11</v>
      </c>
      <c r="B34" s="538">
        <v>46320</v>
      </c>
      <c r="C34" s="538" t="s">
        <v>44</v>
      </c>
      <c r="D34" s="538">
        <v>11</v>
      </c>
      <c r="E34" s="537" t="s">
        <v>73</v>
      </c>
    </row>
    <row r="35" spans="1:6">
      <c r="A35" s="538" t="str">
        <f t="shared" si="0"/>
        <v>INDEC-CM - 46340-11</v>
      </c>
      <c r="B35" s="538">
        <v>46340</v>
      </c>
      <c r="C35" s="538" t="s">
        <v>44</v>
      </c>
      <c r="D35" s="538">
        <v>11</v>
      </c>
      <c r="E35" s="537" t="s">
        <v>74</v>
      </c>
    </row>
    <row r="36" spans="1:6">
      <c r="A36" s="538" t="str">
        <f t="shared" si="0"/>
        <v>INDEC-CM - 46340-12</v>
      </c>
      <c r="B36" s="538">
        <v>46340</v>
      </c>
      <c r="C36" s="538" t="s">
        <v>44</v>
      </c>
      <c r="D36" s="538">
        <v>12</v>
      </c>
      <c r="E36" s="537" t="s">
        <v>75</v>
      </c>
    </row>
    <row r="37" spans="1:6">
      <c r="A37" s="538" t="str">
        <f t="shared" si="0"/>
        <v>INDEC-CM - 46340-21</v>
      </c>
      <c r="B37" s="538">
        <v>46340</v>
      </c>
      <c r="C37" s="538" t="s">
        <v>44</v>
      </c>
      <c r="D37" s="538">
        <v>21</v>
      </c>
      <c r="E37" s="537" t="s">
        <v>76</v>
      </c>
    </row>
    <row r="38" spans="1:6">
      <c r="A38" s="538" t="str">
        <f t="shared" si="0"/>
        <v>INDEC-CM - 46212-21</v>
      </c>
      <c r="B38" s="538">
        <v>46212</v>
      </c>
      <c r="C38" s="538" t="s">
        <v>44</v>
      </c>
      <c r="D38" s="538">
        <v>21</v>
      </c>
      <c r="E38" s="537" t="s">
        <v>77</v>
      </c>
    </row>
    <row r="39" spans="1:6">
      <c r="A39" s="538" t="str">
        <f t="shared" si="0"/>
        <v>INDEC-CM - 42999-23</v>
      </c>
      <c r="B39" s="538">
        <v>42999</v>
      </c>
      <c r="C39" s="538" t="s">
        <v>44</v>
      </c>
      <c r="D39" s="538">
        <v>23</v>
      </c>
      <c r="E39" s="537" t="s">
        <v>78</v>
      </c>
    </row>
    <row r="40" spans="1:6">
      <c r="A40" s="538" t="str">
        <f t="shared" si="0"/>
        <v>INDEC-CM - 42999-21</v>
      </c>
      <c r="B40" s="538">
        <v>42999</v>
      </c>
      <c r="C40" s="538" t="s">
        <v>44</v>
      </c>
      <c r="D40" s="538">
        <v>21</v>
      </c>
      <c r="E40" s="537" t="s">
        <v>79</v>
      </c>
    </row>
    <row r="41" spans="1:6">
      <c r="A41" s="538" t="str">
        <f t="shared" si="0"/>
        <v>INDEC-CM - 42999-31</v>
      </c>
      <c r="B41" s="538">
        <v>42999</v>
      </c>
      <c r="C41" s="538" t="s">
        <v>44</v>
      </c>
      <c r="D41" s="538">
        <v>31</v>
      </c>
      <c r="E41" s="537" t="s">
        <v>80</v>
      </c>
    </row>
    <row r="42" spans="1:6">
      <c r="A42" s="538" t="str">
        <f t="shared" si="0"/>
        <v>INDEC-CM - 42999-22</v>
      </c>
      <c r="B42" s="538">
        <v>42999</v>
      </c>
      <c r="C42" s="538" t="s">
        <v>44</v>
      </c>
      <c r="D42" s="538">
        <v>22</v>
      </c>
      <c r="E42" s="537" t="s">
        <v>81</v>
      </c>
    </row>
    <row r="43" spans="1:6">
      <c r="A43" s="543" t="str">
        <f t="shared" si="0"/>
        <v>INDEC-CM - 31600-63</v>
      </c>
      <c r="B43" s="543">
        <v>31600</v>
      </c>
      <c r="C43" s="543" t="s">
        <v>44</v>
      </c>
      <c r="D43" s="543">
        <v>63</v>
      </c>
      <c r="E43" s="544" t="s">
        <v>82</v>
      </c>
      <c r="F43" s="537" t="s">
        <v>2038</v>
      </c>
    </row>
    <row r="44" spans="1:6">
      <c r="A44" s="543" t="str">
        <f t="shared" si="0"/>
        <v>INDEC-CM - 31600-62</v>
      </c>
      <c r="B44" s="543">
        <v>31600</v>
      </c>
      <c r="C44" s="543" t="s">
        <v>44</v>
      </c>
      <c r="D44" s="543">
        <v>62</v>
      </c>
      <c r="E44" s="544" t="s">
        <v>83</v>
      </c>
      <c r="F44" s="537" t="s">
        <v>2038</v>
      </c>
    </row>
    <row r="45" spans="1:6">
      <c r="A45" s="543" t="str">
        <f t="shared" si="0"/>
        <v>INDEC-CM - 31600-61</v>
      </c>
      <c r="B45" s="543">
        <v>31600</v>
      </c>
      <c r="C45" s="543" t="s">
        <v>44</v>
      </c>
      <c r="D45" s="543">
        <v>61</v>
      </c>
      <c r="E45" s="544" t="s">
        <v>84</v>
      </c>
      <c r="F45" s="537" t="s">
        <v>2038</v>
      </c>
    </row>
    <row r="46" spans="1:6">
      <c r="A46" s="538" t="str">
        <f t="shared" si="0"/>
        <v>INDEC-CM - 37420-11</v>
      </c>
      <c r="B46" s="538">
        <v>37420</v>
      </c>
      <c r="C46" s="538" t="s">
        <v>44</v>
      </c>
      <c r="D46" s="538">
        <v>11</v>
      </c>
      <c r="E46" s="537" t="s">
        <v>85</v>
      </c>
    </row>
    <row r="47" spans="1:6">
      <c r="A47" s="538" t="str">
        <f t="shared" si="0"/>
        <v>INDEC-CM - 37420-12</v>
      </c>
      <c r="B47" s="538">
        <v>37420</v>
      </c>
      <c r="C47" s="538" t="s">
        <v>44</v>
      </c>
      <c r="D47" s="538">
        <v>12</v>
      </c>
      <c r="E47" s="537" t="s">
        <v>86</v>
      </c>
    </row>
    <row r="48" spans="1:6">
      <c r="A48" s="538" t="str">
        <f t="shared" si="0"/>
        <v>INDEC-CM - 44822-11</v>
      </c>
      <c r="B48" s="538">
        <v>44822</v>
      </c>
      <c r="C48" s="538" t="s">
        <v>44</v>
      </c>
      <c r="D48" s="538">
        <v>11</v>
      </c>
      <c r="E48" s="537" t="s">
        <v>87</v>
      </c>
    </row>
    <row r="49" spans="1:5">
      <c r="A49" s="538" t="str">
        <f t="shared" si="0"/>
        <v>INDEC-CM - 44826-11</v>
      </c>
      <c r="B49" s="538">
        <v>44826</v>
      </c>
      <c r="C49" s="538" t="s">
        <v>44</v>
      </c>
      <c r="D49" s="538">
        <v>11</v>
      </c>
      <c r="E49" s="537" t="s">
        <v>88</v>
      </c>
    </row>
    <row r="50" spans="1:5">
      <c r="A50" s="538" t="str">
        <f t="shared" si="0"/>
        <v>INDEC-CM - 44826-12</v>
      </c>
      <c r="B50" s="538">
        <v>44826</v>
      </c>
      <c r="C50" s="538" t="s">
        <v>44</v>
      </c>
      <c r="D50" s="538">
        <v>12</v>
      </c>
      <c r="E50" s="537" t="s">
        <v>89</v>
      </c>
    </row>
    <row r="51" spans="1:5">
      <c r="A51" s="538" t="str">
        <f t="shared" si="0"/>
        <v>INDEC-CM - 42911-21</v>
      </c>
      <c r="B51" s="538">
        <v>42911</v>
      </c>
      <c r="C51" s="538" t="s">
        <v>44</v>
      </c>
      <c r="D51" s="538">
        <v>21</v>
      </c>
      <c r="E51" s="537" t="s">
        <v>90</v>
      </c>
    </row>
    <row r="52" spans="1:5">
      <c r="A52" s="538" t="str">
        <f t="shared" si="0"/>
        <v>INDEC-CM - 41277-21</v>
      </c>
      <c r="B52" s="538">
        <v>41277</v>
      </c>
      <c r="C52" s="538" t="s">
        <v>44</v>
      </c>
      <c r="D52" s="538">
        <v>21</v>
      </c>
      <c r="E52" s="537" t="s">
        <v>91</v>
      </c>
    </row>
    <row r="53" spans="1:5">
      <c r="A53" s="538" t="str">
        <f t="shared" si="0"/>
        <v>INDEC-CM - 41277-11</v>
      </c>
      <c r="B53" s="538">
        <v>41277</v>
      </c>
      <c r="C53" s="538" t="s">
        <v>44</v>
      </c>
      <c r="D53" s="538">
        <v>11</v>
      </c>
      <c r="E53" s="537" t="s">
        <v>92</v>
      </c>
    </row>
    <row r="54" spans="1:5">
      <c r="A54" s="538" t="str">
        <f t="shared" si="0"/>
        <v>INDEC-CM - 41516-11</v>
      </c>
      <c r="B54" s="538">
        <v>41516</v>
      </c>
      <c r="C54" s="538" t="s">
        <v>44</v>
      </c>
      <c r="D54" s="538">
        <v>11</v>
      </c>
      <c r="E54" s="537" t="s">
        <v>93</v>
      </c>
    </row>
    <row r="55" spans="1:5">
      <c r="A55" s="538" t="str">
        <f t="shared" si="0"/>
        <v>INDEC-CM - 41516-12</v>
      </c>
      <c r="B55" s="538">
        <v>41516</v>
      </c>
      <c r="C55" s="538" t="s">
        <v>44</v>
      </c>
      <c r="D55" s="538">
        <v>12</v>
      </c>
      <c r="E55" s="537" t="s">
        <v>94</v>
      </c>
    </row>
    <row r="56" spans="1:5">
      <c r="A56" s="538" t="str">
        <f t="shared" si="0"/>
        <v>INDEC-CM - 41273-11</v>
      </c>
      <c r="B56" s="538">
        <v>41273</v>
      </c>
      <c r="C56" s="538" t="s">
        <v>44</v>
      </c>
      <c r="D56" s="538">
        <v>11</v>
      </c>
      <c r="E56" s="537" t="s">
        <v>95</v>
      </c>
    </row>
    <row r="57" spans="1:5">
      <c r="A57" s="538" t="str">
        <f t="shared" si="0"/>
        <v>INDEC-CM - 41273-12</v>
      </c>
      <c r="B57" s="538">
        <v>41273</v>
      </c>
      <c r="C57" s="538" t="s">
        <v>44</v>
      </c>
      <c r="D57" s="538">
        <v>12</v>
      </c>
      <c r="E57" s="537" t="s">
        <v>96</v>
      </c>
    </row>
    <row r="58" spans="1:5">
      <c r="A58" s="538" t="str">
        <f t="shared" si="0"/>
        <v>INDEC-CM - 41277-41</v>
      </c>
      <c r="B58" s="538">
        <v>41277</v>
      </c>
      <c r="C58" s="538" t="s">
        <v>44</v>
      </c>
      <c r="D58" s="538">
        <v>41</v>
      </c>
      <c r="E58" s="537" t="s">
        <v>97</v>
      </c>
    </row>
    <row r="59" spans="1:5">
      <c r="A59" s="538" t="str">
        <f t="shared" si="0"/>
        <v>INDEC-CM - 41277-31</v>
      </c>
      <c r="B59" s="538">
        <v>41277</v>
      </c>
      <c r="C59" s="538" t="s">
        <v>44</v>
      </c>
      <c r="D59" s="538">
        <v>31</v>
      </c>
      <c r="E59" s="537" t="s">
        <v>98</v>
      </c>
    </row>
    <row r="60" spans="1:5">
      <c r="A60" s="538" t="str">
        <f t="shared" si="0"/>
        <v>INDEC-CM - 41543-11</v>
      </c>
      <c r="B60" s="538">
        <v>41543</v>
      </c>
      <c r="C60" s="538" t="s">
        <v>44</v>
      </c>
      <c r="D60" s="538">
        <v>11</v>
      </c>
      <c r="E60" s="537" t="s">
        <v>99</v>
      </c>
    </row>
    <row r="61" spans="1:5">
      <c r="A61" s="538" t="str">
        <f t="shared" si="0"/>
        <v>INDEC-CM - 36320-21</v>
      </c>
      <c r="B61" s="538">
        <v>36320</v>
      </c>
      <c r="C61" s="538" t="s">
        <v>44</v>
      </c>
      <c r="D61" s="538">
        <v>21</v>
      </c>
      <c r="E61" s="537" t="s">
        <v>100</v>
      </c>
    </row>
    <row r="62" spans="1:5">
      <c r="A62" s="538" t="str">
        <f t="shared" si="0"/>
        <v>INDEC-CM - 36320-22</v>
      </c>
      <c r="B62" s="538">
        <v>36320</v>
      </c>
      <c r="C62" s="538" t="s">
        <v>44</v>
      </c>
      <c r="D62" s="538">
        <v>22</v>
      </c>
      <c r="E62" s="537" t="s">
        <v>101</v>
      </c>
    </row>
    <row r="63" spans="1:5">
      <c r="A63" s="538" t="str">
        <f t="shared" si="0"/>
        <v>INDEC-CM - 36320-11</v>
      </c>
      <c r="B63" s="538">
        <v>36320</v>
      </c>
      <c r="C63" s="538" t="s">
        <v>44</v>
      </c>
      <c r="D63" s="538">
        <v>11</v>
      </c>
      <c r="E63" s="537" t="s">
        <v>102</v>
      </c>
    </row>
    <row r="64" spans="1:5">
      <c r="A64" s="538" t="str">
        <f t="shared" si="0"/>
        <v>INDEC-CM - 36320-12</v>
      </c>
      <c r="B64" s="538">
        <v>36320</v>
      </c>
      <c r="C64" s="538" t="s">
        <v>44</v>
      </c>
      <c r="D64" s="538">
        <v>12</v>
      </c>
      <c r="E64" s="537" t="s">
        <v>103</v>
      </c>
    </row>
    <row r="65" spans="1:7">
      <c r="A65" s="538" t="str">
        <f t="shared" si="0"/>
        <v>INDEC-CM - 15320-11</v>
      </c>
      <c r="B65" s="538">
        <v>15320</v>
      </c>
      <c r="C65" s="538" t="s">
        <v>44</v>
      </c>
      <c r="D65" s="538">
        <v>11</v>
      </c>
      <c r="E65" s="537" t="s">
        <v>104</v>
      </c>
    </row>
    <row r="66" spans="1:7">
      <c r="A66" s="538" t="str">
        <f t="shared" si="0"/>
        <v>INDEC-CM - 37350-61</v>
      </c>
      <c r="B66" s="538">
        <v>37350</v>
      </c>
      <c r="C66" s="538" t="s">
        <v>44</v>
      </c>
      <c r="D66" s="538">
        <v>61</v>
      </c>
      <c r="E66" s="542" t="s">
        <v>105</v>
      </c>
      <c r="F66" s="542"/>
      <c r="G66" s="542"/>
    </row>
    <row r="67" spans="1:7">
      <c r="A67" s="538" t="str">
        <f t="shared" si="0"/>
        <v>INDEC-CM - 37440-31</v>
      </c>
      <c r="B67" s="538">
        <v>37440</v>
      </c>
      <c r="C67" s="538" t="s">
        <v>44</v>
      </c>
      <c r="D67" s="538">
        <v>31</v>
      </c>
      <c r="E67" s="537" t="s">
        <v>106</v>
      </c>
    </row>
    <row r="68" spans="1:7">
      <c r="A68" s="538" t="str">
        <f t="shared" si="0"/>
        <v>INDEC-CM - 37440-11</v>
      </c>
      <c r="B68" s="538">
        <v>37440</v>
      </c>
      <c r="C68" s="538" t="s">
        <v>44</v>
      </c>
      <c r="D68" s="538">
        <v>11</v>
      </c>
      <c r="E68" s="537" t="s">
        <v>107</v>
      </c>
    </row>
    <row r="69" spans="1:7">
      <c r="A69" s="538" t="str">
        <f t="shared" si="0"/>
        <v>INDEC-CM - 44821-21</v>
      </c>
      <c r="B69" s="538">
        <v>44821</v>
      </c>
      <c r="C69" s="538" t="s">
        <v>44</v>
      </c>
      <c r="D69" s="538">
        <v>21</v>
      </c>
      <c r="E69" s="537" t="s">
        <v>108</v>
      </c>
    </row>
    <row r="70" spans="1:7">
      <c r="A70" s="538" t="str">
        <f t="shared" ref="A70:A133" si="1">CONCATENATE("INDEC-CM - ",B70,C70,D70)</f>
        <v>INDEC-CM - 36320-31</v>
      </c>
      <c r="B70" s="538">
        <v>36320</v>
      </c>
      <c r="C70" s="538" t="s">
        <v>44</v>
      </c>
      <c r="D70" s="538">
        <v>31</v>
      </c>
      <c r="E70" s="537" t="s">
        <v>109</v>
      </c>
    </row>
    <row r="71" spans="1:7">
      <c r="A71" s="538" t="str">
        <f t="shared" si="1"/>
        <v>INDEC-CM - 41278-12</v>
      </c>
      <c r="B71" s="538">
        <v>41278</v>
      </c>
      <c r="C71" s="538" t="s">
        <v>44</v>
      </c>
      <c r="D71" s="538">
        <v>12</v>
      </c>
      <c r="E71" s="542" t="s">
        <v>110</v>
      </c>
      <c r="F71" s="542"/>
      <c r="G71" s="542"/>
    </row>
    <row r="72" spans="1:7">
      <c r="A72" s="538" t="str">
        <f t="shared" si="1"/>
        <v>INDEC-CM - 41278-11</v>
      </c>
      <c r="B72" s="538">
        <v>41278</v>
      </c>
      <c r="C72" s="538" t="s">
        <v>44</v>
      </c>
      <c r="D72" s="538">
        <v>11</v>
      </c>
      <c r="E72" s="542" t="s">
        <v>111</v>
      </c>
      <c r="F72" s="542"/>
      <c r="G72" s="542"/>
    </row>
    <row r="73" spans="1:7">
      <c r="A73" s="538" t="str">
        <f t="shared" si="1"/>
        <v>INDEC-CM - 36320-41</v>
      </c>
      <c r="B73" s="538">
        <v>36320</v>
      </c>
      <c r="C73" s="538" t="s">
        <v>44</v>
      </c>
      <c r="D73" s="538">
        <v>41</v>
      </c>
      <c r="E73" s="537" t="s">
        <v>112</v>
      </c>
    </row>
    <row r="74" spans="1:7">
      <c r="A74" s="538" t="str">
        <f t="shared" si="1"/>
        <v>INDEC-CM - 41516-21</v>
      </c>
      <c r="B74" s="538">
        <v>41516</v>
      </c>
      <c r="C74" s="538" t="s">
        <v>44</v>
      </c>
      <c r="D74" s="538">
        <v>21</v>
      </c>
      <c r="E74" s="537" t="s">
        <v>113</v>
      </c>
    </row>
    <row r="75" spans="1:7">
      <c r="A75" s="543" t="str">
        <f t="shared" si="1"/>
        <v>INDEC-CM - 41278-22</v>
      </c>
      <c r="B75" s="543">
        <v>41278</v>
      </c>
      <c r="C75" s="543" t="s">
        <v>44</v>
      </c>
      <c r="D75" s="543">
        <v>22</v>
      </c>
      <c r="E75" s="545" t="s">
        <v>114</v>
      </c>
      <c r="F75" s="537" t="s">
        <v>2038</v>
      </c>
    </row>
    <row r="76" spans="1:7">
      <c r="A76" s="538" t="str">
        <f t="shared" si="1"/>
        <v>INDEC-CM - 46350-11</v>
      </c>
      <c r="B76" s="538">
        <v>46350</v>
      </c>
      <c r="C76" s="538" t="s">
        <v>44</v>
      </c>
      <c r="D76" s="538">
        <v>11</v>
      </c>
      <c r="E76" s="537" t="s">
        <v>115</v>
      </c>
    </row>
    <row r="77" spans="1:7">
      <c r="A77" s="538" t="str">
        <f t="shared" si="1"/>
        <v>INDEC-CM - 41278-41</v>
      </c>
      <c r="B77" s="538">
        <v>41278</v>
      </c>
      <c r="C77" s="538" t="s">
        <v>44</v>
      </c>
      <c r="D77" s="538">
        <v>41</v>
      </c>
      <c r="E77" s="542" t="s">
        <v>116</v>
      </c>
      <c r="F77" s="542"/>
      <c r="G77" s="542"/>
    </row>
    <row r="78" spans="1:7">
      <c r="A78" s="538" t="str">
        <f t="shared" si="1"/>
        <v>INDEC-CM - 42999-11</v>
      </c>
      <c r="B78" s="538">
        <v>42999</v>
      </c>
      <c r="C78" s="538" t="s">
        <v>44</v>
      </c>
      <c r="D78" s="538">
        <v>11</v>
      </c>
      <c r="E78" s="537" t="s">
        <v>117</v>
      </c>
    </row>
    <row r="79" spans="1:7">
      <c r="A79" s="538" t="str">
        <f t="shared" si="1"/>
        <v>INDEC-CM - 36320-51</v>
      </c>
      <c r="B79" s="538">
        <v>36320</v>
      </c>
      <c r="C79" s="538" t="s">
        <v>44</v>
      </c>
      <c r="D79" s="538">
        <v>51</v>
      </c>
      <c r="E79" s="537" t="s">
        <v>118</v>
      </c>
    </row>
    <row r="80" spans="1:7">
      <c r="A80" s="538" t="str">
        <f t="shared" si="1"/>
        <v>INDEC-CM - 31600-12</v>
      </c>
      <c r="B80" s="538">
        <v>31600</v>
      </c>
      <c r="C80" s="538" t="s">
        <v>44</v>
      </c>
      <c r="D80" s="538">
        <v>12</v>
      </c>
      <c r="E80" s="537" t="s">
        <v>119</v>
      </c>
    </row>
    <row r="81" spans="1:7">
      <c r="A81" s="538" t="str">
        <f t="shared" si="1"/>
        <v>INDEC-CM - 36950-11</v>
      </c>
      <c r="B81" s="538">
        <v>36950</v>
      </c>
      <c r="C81" s="538" t="s">
        <v>44</v>
      </c>
      <c r="D81" s="538">
        <v>11</v>
      </c>
      <c r="E81" s="537" t="s">
        <v>120</v>
      </c>
    </row>
    <row r="82" spans="1:7">
      <c r="A82" s="538" t="str">
        <f t="shared" si="1"/>
        <v>INDEC-CM - 31600-11</v>
      </c>
      <c r="B82" s="538">
        <v>31600</v>
      </c>
      <c r="C82" s="538" t="s">
        <v>44</v>
      </c>
      <c r="D82" s="538">
        <v>11</v>
      </c>
      <c r="E82" s="537" t="s">
        <v>121</v>
      </c>
    </row>
    <row r="83" spans="1:7">
      <c r="A83" s="538" t="str">
        <f t="shared" si="1"/>
        <v>INDEC-CM - 37112-11</v>
      </c>
      <c r="B83" s="538">
        <v>37112</v>
      </c>
      <c r="C83" s="538" t="s">
        <v>44</v>
      </c>
      <c r="D83" s="538">
        <v>11</v>
      </c>
      <c r="E83" s="537" t="s">
        <v>122</v>
      </c>
    </row>
    <row r="84" spans="1:7">
      <c r="A84" s="538" t="str">
        <f t="shared" si="1"/>
        <v>INDEC-CM - 41278-31</v>
      </c>
      <c r="B84" s="538">
        <v>41278</v>
      </c>
      <c r="C84" s="538" t="s">
        <v>44</v>
      </c>
      <c r="D84" s="538">
        <v>31</v>
      </c>
      <c r="E84" s="542" t="s">
        <v>123</v>
      </c>
      <c r="F84" s="542"/>
      <c r="G84" s="542"/>
    </row>
    <row r="85" spans="1:7">
      <c r="A85" s="538" t="str">
        <f t="shared" si="1"/>
        <v>INDEC-CM - 41278-13</v>
      </c>
      <c r="B85" s="538">
        <v>41278</v>
      </c>
      <c r="C85" s="538" t="s">
        <v>44</v>
      </c>
      <c r="D85" s="538">
        <v>13</v>
      </c>
      <c r="E85" s="542" t="s">
        <v>124</v>
      </c>
      <c r="F85" s="542"/>
      <c r="G85" s="542"/>
    </row>
    <row r="86" spans="1:7">
      <c r="A86" s="538" t="str">
        <f t="shared" si="1"/>
        <v>INDEC-CM - 37570-11</v>
      </c>
      <c r="B86" s="538">
        <v>37570</v>
      </c>
      <c r="C86" s="538" t="s">
        <v>44</v>
      </c>
      <c r="D86" s="538">
        <v>11</v>
      </c>
      <c r="E86" s="542" t="s">
        <v>125</v>
      </c>
      <c r="F86" s="542"/>
      <c r="G86" s="542"/>
    </row>
    <row r="87" spans="1:7">
      <c r="A87" s="538" t="str">
        <f t="shared" si="1"/>
        <v>INDEC-CM - 43220-11</v>
      </c>
      <c r="B87" s="538">
        <v>43220</v>
      </c>
      <c r="C87" s="538" t="s">
        <v>44</v>
      </c>
      <c r="D87" s="538">
        <v>11</v>
      </c>
      <c r="E87" s="537" t="s">
        <v>126</v>
      </c>
    </row>
    <row r="88" spans="1:7">
      <c r="A88" s="538" t="str">
        <f t="shared" si="1"/>
        <v>INDEC-CM - 43220-12</v>
      </c>
      <c r="B88" s="538">
        <v>43220</v>
      </c>
      <c r="C88" s="538" t="s">
        <v>44</v>
      </c>
      <c r="D88" s="538">
        <v>12</v>
      </c>
      <c r="E88" s="537" t="s">
        <v>127</v>
      </c>
    </row>
    <row r="89" spans="1:7">
      <c r="A89" s="538" t="str">
        <f t="shared" si="1"/>
        <v>INDEC-CM - 43220-21</v>
      </c>
      <c r="B89" s="538">
        <v>43220</v>
      </c>
      <c r="C89" s="538" t="s">
        <v>44</v>
      </c>
      <c r="D89" s="538">
        <v>21</v>
      </c>
      <c r="E89" s="537" t="s">
        <v>128</v>
      </c>
    </row>
    <row r="90" spans="1:7">
      <c r="A90" s="538" t="str">
        <f t="shared" si="1"/>
        <v>INDEC-CM - 43220-22</v>
      </c>
      <c r="B90" s="538">
        <v>43220</v>
      </c>
      <c r="C90" s="538" t="s">
        <v>44</v>
      </c>
      <c r="D90" s="538">
        <v>22</v>
      </c>
      <c r="E90" s="537" t="s">
        <v>129</v>
      </c>
    </row>
    <row r="91" spans="1:7">
      <c r="A91" s="538" t="str">
        <f t="shared" si="1"/>
        <v>INDEC-CM - 43220-23</v>
      </c>
      <c r="B91" s="538">
        <v>43220</v>
      </c>
      <c r="C91" s="538" t="s">
        <v>44</v>
      </c>
      <c r="D91" s="538">
        <v>23</v>
      </c>
      <c r="E91" s="537" t="s">
        <v>130</v>
      </c>
    </row>
    <row r="92" spans="1:7">
      <c r="A92" s="538" t="str">
        <f t="shared" si="1"/>
        <v>INDEC-CM - 43220-31</v>
      </c>
      <c r="B92" s="538">
        <v>43220</v>
      </c>
      <c r="C92" s="538" t="s">
        <v>44</v>
      </c>
      <c r="D92" s="538">
        <v>31</v>
      </c>
      <c r="E92" s="537" t="s">
        <v>131</v>
      </c>
    </row>
    <row r="93" spans="1:7">
      <c r="A93" s="538" t="str">
        <f t="shared" si="1"/>
        <v>INDEC-CM - 43220-32</v>
      </c>
      <c r="B93" s="538">
        <v>43220</v>
      </c>
      <c r="C93" s="538" t="s">
        <v>44</v>
      </c>
      <c r="D93" s="538">
        <v>32</v>
      </c>
      <c r="E93" s="537" t="s">
        <v>132</v>
      </c>
    </row>
    <row r="94" spans="1:7">
      <c r="A94" s="538" t="str">
        <f t="shared" si="1"/>
        <v>INDEC-CM - 41278-32</v>
      </c>
      <c r="B94" s="538">
        <v>41278</v>
      </c>
      <c r="C94" s="538" t="s">
        <v>44</v>
      </c>
      <c r="D94" s="538">
        <v>32</v>
      </c>
      <c r="E94" s="542" t="s">
        <v>133</v>
      </c>
      <c r="F94" s="542"/>
      <c r="G94" s="542"/>
    </row>
    <row r="95" spans="1:7">
      <c r="A95" s="538" t="str">
        <f t="shared" si="1"/>
        <v>INDEC-CM - 36320-32</v>
      </c>
      <c r="B95" s="538">
        <v>36320</v>
      </c>
      <c r="C95" s="538" t="s">
        <v>44</v>
      </c>
      <c r="D95" s="538">
        <v>32</v>
      </c>
      <c r="E95" s="537" t="s">
        <v>134</v>
      </c>
    </row>
    <row r="96" spans="1:7">
      <c r="A96" s="543" t="str">
        <f t="shared" si="1"/>
        <v>INDEC-CM - 41278-23</v>
      </c>
      <c r="B96" s="543">
        <v>41278</v>
      </c>
      <c r="C96" s="543" t="s">
        <v>44</v>
      </c>
      <c r="D96" s="543">
        <v>23</v>
      </c>
      <c r="E96" s="545" t="s">
        <v>135</v>
      </c>
      <c r="F96" s="537" t="s">
        <v>2038</v>
      </c>
    </row>
    <row r="97" spans="1:6">
      <c r="A97" s="538" t="str">
        <f t="shared" si="1"/>
        <v>INDEC-CM - 35110-11</v>
      </c>
      <c r="B97" s="538">
        <v>35110</v>
      </c>
      <c r="C97" s="538" t="s">
        <v>44</v>
      </c>
      <c r="D97" s="538">
        <v>11</v>
      </c>
      <c r="E97" s="537" t="s">
        <v>136</v>
      </c>
    </row>
    <row r="98" spans="1:6">
      <c r="A98" s="538" t="str">
        <f t="shared" si="1"/>
        <v>INDEC-CM - 35110-12</v>
      </c>
      <c r="B98" s="538">
        <v>35110</v>
      </c>
      <c r="C98" s="538" t="s">
        <v>44</v>
      </c>
      <c r="D98" s="538">
        <v>12</v>
      </c>
      <c r="E98" s="537" t="s">
        <v>137</v>
      </c>
    </row>
    <row r="99" spans="1:6">
      <c r="A99" s="538" t="str">
        <f t="shared" si="1"/>
        <v>INDEC-CM - 35110-21</v>
      </c>
      <c r="B99" s="538">
        <v>35110</v>
      </c>
      <c r="C99" s="538" t="s">
        <v>44</v>
      </c>
      <c r="D99" s="538">
        <v>21</v>
      </c>
      <c r="E99" s="537" t="s">
        <v>138</v>
      </c>
    </row>
    <row r="100" spans="1:6">
      <c r="A100" s="538" t="str">
        <f t="shared" si="1"/>
        <v>INDEC-CM - 35110-22</v>
      </c>
      <c r="B100" s="538">
        <v>35110</v>
      </c>
      <c r="C100" s="538" t="s">
        <v>44</v>
      </c>
      <c r="D100" s="538">
        <v>22</v>
      </c>
      <c r="E100" s="537" t="s">
        <v>139</v>
      </c>
    </row>
    <row r="101" spans="1:6">
      <c r="A101" s="538" t="str">
        <f t="shared" si="1"/>
        <v>INDEC-CM - 41547-11</v>
      </c>
      <c r="B101" s="538">
        <v>41547</v>
      </c>
      <c r="C101" s="538" t="s">
        <v>44</v>
      </c>
      <c r="D101" s="538">
        <v>11</v>
      </c>
      <c r="E101" s="537" t="s">
        <v>140</v>
      </c>
    </row>
    <row r="102" spans="1:6">
      <c r="A102" s="543" t="str">
        <f t="shared" si="1"/>
        <v>INDEC-CM - 31600-73</v>
      </c>
      <c r="B102" s="543">
        <v>31600</v>
      </c>
      <c r="C102" s="543" t="s">
        <v>44</v>
      </c>
      <c r="D102" s="543">
        <v>73</v>
      </c>
      <c r="E102" s="544" t="s">
        <v>141</v>
      </c>
      <c r="F102" s="537" t="s">
        <v>2038</v>
      </c>
    </row>
    <row r="103" spans="1:6">
      <c r="A103" s="543" t="str">
        <f t="shared" si="1"/>
        <v>INDEC-CM - 31600-72</v>
      </c>
      <c r="B103" s="543">
        <v>31600</v>
      </c>
      <c r="C103" s="543" t="s">
        <v>44</v>
      </c>
      <c r="D103" s="543">
        <v>72</v>
      </c>
      <c r="E103" s="544" t="s">
        <v>142</v>
      </c>
      <c r="F103" s="537" t="s">
        <v>2038</v>
      </c>
    </row>
    <row r="104" spans="1:6">
      <c r="A104" s="543" t="str">
        <f t="shared" si="1"/>
        <v>INDEC-CM - 31600-71</v>
      </c>
      <c r="B104" s="543">
        <v>31600</v>
      </c>
      <c r="C104" s="543" t="s">
        <v>44</v>
      </c>
      <c r="D104" s="543">
        <v>71</v>
      </c>
      <c r="E104" s="544" t="s">
        <v>143</v>
      </c>
      <c r="F104" s="537" t="s">
        <v>2038</v>
      </c>
    </row>
    <row r="105" spans="1:6">
      <c r="A105" s="538" t="str">
        <f t="shared" si="1"/>
        <v>INDEC-CM - 35110-61</v>
      </c>
      <c r="B105" s="538">
        <v>35110</v>
      </c>
      <c r="C105" s="538" t="s">
        <v>44</v>
      </c>
      <c r="D105" s="538">
        <v>61</v>
      </c>
      <c r="E105" s="537" t="s">
        <v>144</v>
      </c>
    </row>
    <row r="106" spans="1:6">
      <c r="A106" s="538" t="str">
        <f t="shared" si="1"/>
        <v>INDEC-CM - 31600-53</v>
      </c>
      <c r="B106" s="538">
        <v>31600</v>
      </c>
      <c r="C106" s="538" t="s">
        <v>44</v>
      </c>
      <c r="D106" s="538">
        <v>53</v>
      </c>
      <c r="E106" s="537" t="s">
        <v>145</v>
      </c>
    </row>
    <row r="107" spans="1:6">
      <c r="A107" s="538" t="str">
        <f t="shared" si="1"/>
        <v>INDEC-CM - 31600-51</v>
      </c>
      <c r="B107" s="538">
        <v>31600</v>
      </c>
      <c r="C107" s="538" t="s">
        <v>44</v>
      </c>
      <c r="D107" s="538">
        <v>51</v>
      </c>
      <c r="E107" s="537" t="s">
        <v>146</v>
      </c>
    </row>
    <row r="108" spans="1:6">
      <c r="A108" s="538" t="str">
        <f t="shared" si="1"/>
        <v>INDEC-CM - 37550-21</v>
      </c>
      <c r="B108" s="538">
        <v>37550</v>
      </c>
      <c r="C108" s="538" t="s">
        <v>44</v>
      </c>
      <c r="D108" s="538">
        <v>21</v>
      </c>
      <c r="E108" s="537" t="s">
        <v>147</v>
      </c>
    </row>
    <row r="109" spans="1:6">
      <c r="A109" s="538" t="str">
        <f t="shared" si="1"/>
        <v>INDEC-CM - 42999-41</v>
      </c>
      <c r="B109" s="538">
        <v>42999</v>
      </c>
      <c r="C109" s="538" t="s">
        <v>44</v>
      </c>
      <c r="D109" s="538">
        <v>41</v>
      </c>
      <c r="E109" s="537" t="s">
        <v>148</v>
      </c>
    </row>
    <row r="110" spans="1:6">
      <c r="A110" s="538" t="str">
        <f t="shared" si="1"/>
        <v>INDEC-CM - 42911-53</v>
      </c>
      <c r="B110" s="538">
        <v>42911</v>
      </c>
      <c r="C110" s="538" t="s">
        <v>44</v>
      </c>
      <c r="D110" s="538">
        <v>53</v>
      </c>
      <c r="E110" s="537" t="s">
        <v>149</v>
      </c>
    </row>
    <row r="111" spans="1:6">
      <c r="A111" s="538" t="str">
        <f t="shared" si="1"/>
        <v>INDEC-CM - 42911-52</v>
      </c>
      <c r="B111" s="538">
        <v>42911</v>
      </c>
      <c r="C111" s="538" t="s">
        <v>44</v>
      </c>
      <c r="D111" s="538">
        <v>52</v>
      </c>
      <c r="E111" s="537" t="s">
        <v>150</v>
      </c>
    </row>
    <row r="112" spans="1:6">
      <c r="A112" s="538" t="str">
        <f t="shared" si="1"/>
        <v>INDEC-CM - 42911-51</v>
      </c>
      <c r="B112" s="538">
        <v>42911</v>
      </c>
      <c r="C112" s="538" t="s">
        <v>44</v>
      </c>
      <c r="D112" s="538">
        <v>51</v>
      </c>
      <c r="E112" s="537" t="s">
        <v>151</v>
      </c>
    </row>
    <row r="113" spans="1:7">
      <c r="A113" s="538" t="str">
        <f t="shared" si="1"/>
        <v>INDEC-CM - 42911-43</v>
      </c>
      <c r="B113" s="538">
        <v>42911</v>
      </c>
      <c r="C113" s="538" t="s">
        <v>44</v>
      </c>
      <c r="D113" s="538">
        <v>43</v>
      </c>
      <c r="E113" s="537" t="s">
        <v>152</v>
      </c>
    </row>
    <row r="114" spans="1:7">
      <c r="A114" s="538" t="str">
        <f t="shared" si="1"/>
        <v>INDEC-CM - 42911-42</v>
      </c>
      <c r="B114" s="538">
        <v>42911</v>
      </c>
      <c r="C114" s="538" t="s">
        <v>44</v>
      </c>
      <c r="D114" s="538">
        <v>42</v>
      </c>
      <c r="E114" s="537" t="s">
        <v>153</v>
      </c>
    </row>
    <row r="115" spans="1:7">
      <c r="A115" s="538" t="str">
        <f t="shared" si="1"/>
        <v>INDEC-CM - 42911-41</v>
      </c>
      <c r="B115" s="538">
        <v>42911</v>
      </c>
      <c r="C115" s="538" t="s">
        <v>44</v>
      </c>
      <c r="D115" s="538">
        <v>41</v>
      </c>
      <c r="E115" s="537" t="s">
        <v>154</v>
      </c>
    </row>
    <row r="116" spans="1:7">
      <c r="A116" s="538" t="str">
        <f t="shared" si="1"/>
        <v>INDEC-CM - 42911-56</v>
      </c>
      <c r="B116" s="538">
        <v>42911</v>
      </c>
      <c r="C116" s="538" t="s">
        <v>44</v>
      </c>
      <c r="D116" s="538">
        <v>56</v>
      </c>
      <c r="E116" s="537" t="s">
        <v>155</v>
      </c>
    </row>
    <row r="117" spans="1:7">
      <c r="A117" s="538" t="str">
        <f t="shared" si="1"/>
        <v>INDEC-CM - 42911-55</v>
      </c>
      <c r="B117" s="538">
        <v>42911</v>
      </c>
      <c r="C117" s="538" t="s">
        <v>44</v>
      </c>
      <c r="D117" s="538">
        <v>55</v>
      </c>
      <c r="E117" s="537" t="s">
        <v>156</v>
      </c>
    </row>
    <row r="118" spans="1:7">
      <c r="A118" s="538" t="str">
        <f t="shared" si="1"/>
        <v>INDEC-CM - 42911-54</v>
      </c>
      <c r="B118" s="538">
        <v>42911</v>
      </c>
      <c r="C118" s="538" t="s">
        <v>44</v>
      </c>
      <c r="D118" s="538">
        <v>54</v>
      </c>
      <c r="E118" s="537" t="s">
        <v>157</v>
      </c>
    </row>
    <row r="119" spans="1:7">
      <c r="A119" s="538" t="str">
        <f t="shared" si="1"/>
        <v>INDEC-CM - 42911-32</v>
      </c>
      <c r="B119" s="538">
        <v>42911</v>
      </c>
      <c r="C119" s="538" t="s">
        <v>44</v>
      </c>
      <c r="D119" s="538">
        <v>32</v>
      </c>
      <c r="E119" s="537" t="s">
        <v>158</v>
      </c>
    </row>
    <row r="120" spans="1:7">
      <c r="A120" s="538" t="str">
        <f t="shared" si="1"/>
        <v>INDEC-CM - 42911-31</v>
      </c>
      <c r="B120" s="538">
        <v>42911</v>
      </c>
      <c r="C120" s="538" t="s">
        <v>44</v>
      </c>
      <c r="D120" s="538">
        <v>31</v>
      </c>
      <c r="E120" s="537" t="s">
        <v>159</v>
      </c>
    </row>
    <row r="121" spans="1:7">
      <c r="A121" s="538" t="str">
        <f t="shared" si="1"/>
        <v>INDEC-CM - 42911-59</v>
      </c>
      <c r="B121" s="538">
        <v>42911</v>
      </c>
      <c r="C121" s="538" t="s">
        <v>44</v>
      </c>
      <c r="D121" s="538">
        <v>59</v>
      </c>
      <c r="E121" s="537" t="s">
        <v>160</v>
      </c>
    </row>
    <row r="122" spans="1:7">
      <c r="A122" s="538" t="str">
        <f t="shared" si="1"/>
        <v>INDEC-CM - 42911-58</v>
      </c>
      <c r="B122" s="538">
        <v>42911</v>
      </c>
      <c r="C122" s="538" t="s">
        <v>44</v>
      </c>
      <c r="D122" s="538">
        <v>58</v>
      </c>
      <c r="E122" s="542" t="s">
        <v>161</v>
      </c>
      <c r="F122" s="542"/>
      <c r="G122" s="542"/>
    </row>
    <row r="123" spans="1:7">
      <c r="A123" s="538" t="str">
        <f t="shared" si="1"/>
        <v>INDEC-CM - 42911-57</v>
      </c>
      <c r="B123" s="538">
        <v>42911</v>
      </c>
      <c r="C123" s="538" t="s">
        <v>44</v>
      </c>
      <c r="D123" s="538">
        <v>57</v>
      </c>
      <c r="E123" s="542" t="s">
        <v>162</v>
      </c>
      <c r="F123" s="542"/>
      <c r="G123" s="542"/>
    </row>
    <row r="124" spans="1:7">
      <c r="A124" s="538" t="str">
        <f t="shared" si="1"/>
        <v>INDEC-CM - 43923-21</v>
      </c>
      <c r="B124" s="538">
        <v>43923</v>
      </c>
      <c r="C124" s="538" t="s">
        <v>44</v>
      </c>
      <c r="D124" s="538">
        <v>21</v>
      </c>
      <c r="E124" s="542" t="s">
        <v>163</v>
      </c>
      <c r="F124" s="542"/>
      <c r="G124" s="542"/>
    </row>
    <row r="125" spans="1:7">
      <c r="A125" s="538" t="str">
        <f t="shared" si="1"/>
        <v>INDEC-CM - 37510-11</v>
      </c>
      <c r="B125" s="538">
        <v>37510</v>
      </c>
      <c r="C125" s="538" t="s">
        <v>44</v>
      </c>
      <c r="D125" s="538">
        <v>11</v>
      </c>
      <c r="E125" s="537" t="s">
        <v>164</v>
      </c>
    </row>
    <row r="126" spans="1:7">
      <c r="A126" s="538" t="str">
        <f t="shared" si="1"/>
        <v>INDEC-CM - 44821-31</v>
      </c>
      <c r="B126" s="538">
        <v>44821</v>
      </c>
      <c r="C126" s="538" t="s">
        <v>44</v>
      </c>
      <c r="D126" s="538">
        <v>31</v>
      </c>
      <c r="E126" s="537" t="s">
        <v>165</v>
      </c>
    </row>
    <row r="127" spans="1:7">
      <c r="A127" s="538" t="str">
        <f t="shared" si="1"/>
        <v>INDEC-CM - 46531-12</v>
      </c>
      <c r="B127" s="538">
        <v>46531</v>
      </c>
      <c r="C127" s="538" t="s">
        <v>44</v>
      </c>
      <c r="D127" s="538">
        <v>12</v>
      </c>
      <c r="E127" s="542" t="s">
        <v>166</v>
      </c>
      <c r="F127" s="542"/>
      <c r="G127" s="542"/>
    </row>
    <row r="128" spans="1:7">
      <c r="A128" s="538" t="str">
        <f t="shared" si="1"/>
        <v>INDEC-CM - 37210-13</v>
      </c>
      <c r="B128" s="538">
        <v>37210</v>
      </c>
      <c r="C128" s="538" t="s">
        <v>44</v>
      </c>
      <c r="D128" s="538">
        <v>13</v>
      </c>
      <c r="E128" s="537" t="s">
        <v>167</v>
      </c>
    </row>
    <row r="129" spans="1:7">
      <c r="A129" s="538" t="str">
        <f t="shared" si="1"/>
        <v>INDEC-CM - 37210-12</v>
      </c>
      <c r="B129" s="538">
        <v>37210</v>
      </c>
      <c r="C129" s="538" t="s">
        <v>44</v>
      </c>
      <c r="D129" s="538">
        <v>12</v>
      </c>
      <c r="E129" s="537" t="s">
        <v>168</v>
      </c>
    </row>
    <row r="130" spans="1:7">
      <c r="A130" s="538" t="str">
        <f t="shared" si="1"/>
        <v>INDEC-CM - 37210-11</v>
      </c>
      <c r="B130" s="538">
        <v>37210</v>
      </c>
      <c r="C130" s="538" t="s">
        <v>44</v>
      </c>
      <c r="D130" s="538">
        <v>11</v>
      </c>
      <c r="E130" s="542" t="s">
        <v>169</v>
      </c>
      <c r="F130" s="542"/>
      <c r="G130" s="542"/>
    </row>
    <row r="131" spans="1:7">
      <c r="A131" s="538" t="str">
        <f t="shared" si="1"/>
        <v>INDEC-CM - 46212-11</v>
      </c>
      <c r="B131" s="538">
        <v>46212</v>
      </c>
      <c r="C131" s="538" t="s">
        <v>44</v>
      </c>
      <c r="D131" s="538">
        <v>11</v>
      </c>
      <c r="E131" s="537" t="s">
        <v>170</v>
      </c>
    </row>
    <row r="132" spans="1:7">
      <c r="A132" s="538" t="str">
        <f t="shared" si="1"/>
        <v>INDEC-CM - 46212-51</v>
      </c>
      <c r="B132" s="538">
        <v>46212</v>
      </c>
      <c r="C132" s="538" t="s">
        <v>44</v>
      </c>
      <c r="D132" s="538">
        <v>51</v>
      </c>
      <c r="E132" s="537" t="s">
        <v>171</v>
      </c>
    </row>
    <row r="133" spans="1:7">
      <c r="A133" s="538" t="str">
        <f t="shared" si="1"/>
        <v>INDEC-CM - 46212-31</v>
      </c>
      <c r="B133" s="538">
        <v>46212</v>
      </c>
      <c r="C133" s="538" t="s">
        <v>44</v>
      </c>
      <c r="D133" s="538">
        <v>31</v>
      </c>
      <c r="E133" s="537" t="s">
        <v>172</v>
      </c>
    </row>
    <row r="134" spans="1:7">
      <c r="A134" s="538" t="str">
        <f t="shared" ref="A134:A197" si="2">CONCATENATE("INDEC-CM - ",B134,C134,D134)</f>
        <v>INDEC-CM - 46212-41</v>
      </c>
      <c r="B134" s="538">
        <v>46212</v>
      </c>
      <c r="C134" s="538" t="s">
        <v>44</v>
      </c>
      <c r="D134" s="538">
        <v>41</v>
      </c>
      <c r="E134" s="537" t="s">
        <v>173</v>
      </c>
    </row>
    <row r="135" spans="1:7">
      <c r="A135" s="538" t="str">
        <f t="shared" si="2"/>
        <v>INDEC-CM - 42999-51</v>
      </c>
      <c r="B135" s="538">
        <v>42999</v>
      </c>
      <c r="C135" s="538" t="s">
        <v>44</v>
      </c>
      <c r="D135" s="538">
        <v>51</v>
      </c>
      <c r="E135" s="537" t="s">
        <v>174</v>
      </c>
    </row>
    <row r="136" spans="1:7">
      <c r="A136" s="538" t="str">
        <f t="shared" si="2"/>
        <v>INDEC-CM - 35110-51</v>
      </c>
      <c r="B136" s="538">
        <v>35110</v>
      </c>
      <c r="C136" s="538" t="s">
        <v>44</v>
      </c>
      <c r="D136" s="538">
        <v>51</v>
      </c>
      <c r="E136" s="537" t="s">
        <v>175</v>
      </c>
    </row>
    <row r="137" spans="1:7">
      <c r="A137" s="538" t="str">
        <f t="shared" si="2"/>
        <v>INDEC-CM - 37350-11</v>
      </c>
      <c r="B137" s="538">
        <v>37350</v>
      </c>
      <c r="C137" s="538" t="s">
        <v>44</v>
      </c>
      <c r="D137" s="538">
        <v>11</v>
      </c>
      <c r="E137" s="537" t="s">
        <v>176</v>
      </c>
    </row>
    <row r="138" spans="1:7">
      <c r="A138" s="538" t="str">
        <f t="shared" si="2"/>
        <v>INDEC-CM - 37350-41</v>
      </c>
      <c r="B138" s="538">
        <v>37350</v>
      </c>
      <c r="C138" s="538" t="s">
        <v>44</v>
      </c>
      <c r="D138" s="538">
        <v>41</v>
      </c>
      <c r="E138" s="537" t="s">
        <v>177</v>
      </c>
    </row>
    <row r="139" spans="1:7">
      <c r="A139" s="538" t="str">
        <f t="shared" si="2"/>
        <v>INDEC-CM - 37350-21</v>
      </c>
      <c r="B139" s="538">
        <v>37350</v>
      </c>
      <c r="C139" s="538" t="s">
        <v>44</v>
      </c>
      <c r="D139" s="538">
        <v>21</v>
      </c>
      <c r="E139" s="537" t="s">
        <v>178</v>
      </c>
    </row>
    <row r="140" spans="1:7">
      <c r="A140" s="538" t="str">
        <f t="shared" si="2"/>
        <v>INDEC-CM - 37350-31</v>
      </c>
      <c r="B140" s="538">
        <v>37350</v>
      </c>
      <c r="C140" s="538" t="s">
        <v>44</v>
      </c>
      <c r="D140" s="538">
        <v>31</v>
      </c>
      <c r="E140" s="537" t="s">
        <v>179</v>
      </c>
    </row>
    <row r="141" spans="1:7">
      <c r="A141" s="538" t="str">
        <f t="shared" si="2"/>
        <v>INDEC-CM - 37210-32</v>
      </c>
      <c r="B141" s="538">
        <v>37210</v>
      </c>
      <c r="C141" s="538" t="s">
        <v>44</v>
      </c>
      <c r="D141" s="538">
        <v>32</v>
      </c>
      <c r="E141" s="537" t="s">
        <v>180</v>
      </c>
    </row>
    <row r="142" spans="1:7">
      <c r="A142" s="538" t="str">
        <f t="shared" si="2"/>
        <v>INDEC-CM - 37210-31</v>
      </c>
      <c r="B142" s="538">
        <v>37210</v>
      </c>
      <c r="C142" s="538" t="s">
        <v>44</v>
      </c>
      <c r="D142" s="538">
        <v>31</v>
      </c>
      <c r="E142" s="537" t="s">
        <v>181</v>
      </c>
    </row>
    <row r="143" spans="1:7">
      <c r="A143" s="538" t="str">
        <f t="shared" si="2"/>
        <v>INDEC-CM - 37210-33</v>
      </c>
      <c r="B143" s="538">
        <v>37210</v>
      </c>
      <c r="C143" s="538" t="s">
        <v>44</v>
      </c>
      <c r="D143" s="538">
        <v>33</v>
      </c>
      <c r="E143" s="537" t="s">
        <v>182</v>
      </c>
    </row>
    <row r="144" spans="1:7">
      <c r="A144" s="538" t="str">
        <f t="shared" si="2"/>
        <v>INDEC-CM - 31210-41</v>
      </c>
      <c r="B144" s="538">
        <v>31210</v>
      </c>
      <c r="C144" s="538" t="s">
        <v>44</v>
      </c>
      <c r="D144" s="538">
        <v>41</v>
      </c>
      <c r="E144" s="537" t="s">
        <v>183</v>
      </c>
    </row>
    <row r="145" spans="1:7">
      <c r="A145" s="538" t="str">
        <f t="shared" si="2"/>
        <v>INDEC-CM - 43240-21</v>
      </c>
      <c r="B145" s="538">
        <v>43240</v>
      </c>
      <c r="C145" s="538" t="s">
        <v>44</v>
      </c>
      <c r="D145" s="538">
        <v>21</v>
      </c>
      <c r="E145" s="537" t="s">
        <v>184</v>
      </c>
    </row>
    <row r="146" spans="1:7">
      <c r="A146" s="538" t="str">
        <f t="shared" si="2"/>
        <v>INDEC-CM - 43240-32</v>
      </c>
      <c r="B146" s="538">
        <v>43240</v>
      </c>
      <c r="C146" s="538" t="s">
        <v>44</v>
      </c>
      <c r="D146" s="538">
        <v>32</v>
      </c>
      <c r="E146" s="537" t="s">
        <v>185</v>
      </c>
    </row>
    <row r="147" spans="1:7">
      <c r="A147" s="538" t="str">
        <f t="shared" si="2"/>
        <v>INDEC-CM - 43240-31</v>
      </c>
      <c r="B147" s="538">
        <v>43240</v>
      </c>
      <c r="C147" s="538" t="s">
        <v>44</v>
      </c>
      <c r="D147" s="538">
        <v>31</v>
      </c>
      <c r="E147" s="537" t="s">
        <v>186</v>
      </c>
    </row>
    <row r="148" spans="1:7">
      <c r="A148" s="538" t="str">
        <f t="shared" si="2"/>
        <v>INDEC-CM - 43240-41</v>
      </c>
      <c r="B148" s="538">
        <v>43240</v>
      </c>
      <c r="C148" s="538" t="s">
        <v>44</v>
      </c>
      <c r="D148" s="538">
        <v>41</v>
      </c>
      <c r="E148" s="537" t="s">
        <v>187</v>
      </c>
    </row>
    <row r="149" spans="1:7">
      <c r="A149" s="538" t="str">
        <f t="shared" si="2"/>
        <v>INDEC-CM - 37540-32</v>
      </c>
      <c r="B149" s="538">
        <v>37540</v>
      </c>
      <c r="C149" s="538" t="s">
        <v>44</v>
      </c>
      <c r="D149" s="538">
        <v>32</v>
      </c>
      <c r="E149" s="542" t="s">
        <v>188</v>
      </c>
      <c r="F149" s="542"/>
      <c r="G149" s="542"/>
    </row>
    <row r="150" spans="1:7">
      <c r="A150" s="538" t="str">
        <f t="shared" si="2"/>
        <v>INDEC-CM - 37540-31</v>
      </c>
      <c r="B150" s="538">
        <v>37540</v>
      </c>
      <c r="C150" s="538" t="s">
        <v>44</v>
      </c>
      <c r="D150" s="538">
        <v>31</v>
      </c>
      <c r="E150" s="537" t="s">
        <v>189</v>
      </c>
    </row>
    <row r="151" spans="1:7">
      <c r="A151" s="538" t="str">
        <f t="shared" si="2"/>
        <v>INDEC-CM - 31210-21</v>
      </c>
      <c r="B151" s="538">
        <v>31210</v>
      </c>
      <c r="C151" s="538" t="s">
        <v>44</v>
      </c>
      <c r="D151" s="538">
        <v>21</v>
      </c>
      <c r="E151" s="542" t="s">
        <v>190</v>
      </c>
      <c r="F151" s="542"/>
      <c r="G151" s="542"/>
    </row>
    <row r="152" spans="1:7">
      <c r="A152" s="538" t="str">
        <f t="shared" si="2"/>
        <v>INDEC-CM - 42911-61</v>
      </c>
      <c r="B152" s="538">
        <v>42911</v>
      </c>
      <c r="C152" s="538" t="s">
        <v>44</v>
      </c>
      <c r="D152" s="538">
        <v>61</v>
      </c>
      <c r="E152" s="542" t="s">
        <v>191</v>
      </c>
      <c r="F152" s="542"/>
      <c r="G152" s="542"/>
    </row>
    <row r="153" spans="1:7">
      <c r="A153" s="538" t="str">
        <f t="shared" si="2"/>
        <v>INDEC-CM - 43923-11</v>
      </c>
      <c r="B153" s="538">
        <v>43923</v>
      </c>
      <c r="C153" s="538" t="s">
        <v>44</v>
      </c>
      <c r="D153" s="538">
        <v>11</v>
      </c>
      <c r="E153" s="542" t="s">
        <v>192</v>
      </c>
      <c r="F153" s="542"/>
      <c r="G153" s="542"/>
    </row>
    <row r="154" spans="1:7">
      <c r="A154" s="538" t="str">
        <f t="shared" si="2"/>
        <v>INDEC-CM - 37930-12</v>
      </c>
      <c r="B154" s="538">
        <v>37930</v>
      </c>
      <c r="C154" s="538" t="s">
        <v>44</v>
      </c>
      <c r="D154" s="538">
        <v>12</v>
      </c>
      <c r="E154" s="537" t="s">
        <v>193</v>
      </c>
    </row>
    <row r="155" spans="1:7">
      <c r="A155" s="538" t="str">
        <f t="shared" si="2"/>
        <v>INDEC-CM - 37930-11</v>
      </c>
      <c r="B155" s="538">
        <v>37930</v>
      </c>
      <c r="C155" s="538" t="s">
        <v>44</v>
      </c>
      <c r="D155" s="538">
        <v>11</v>
      </c>
      <c r="E155" s="537" t="s">
        <v>194</v>
      </c>
    </row>
    <row r="156" spans="1:7">
      <c r="A156" s="538" t="str">
        <f t="shared" si="2"/>
        <v>INDEC-CM - 42999-61</v>
      </c>
      <c r="B156" s="538">
        <v>42999</v>
      </c>
      <c r="C156" s="538" t="s">
        <v>44</v>
      </c>
      <c r="D156" s="538">
        <v>61</v>
      </c>
      <c r="E156" s="542" t="s">
        <v>195</v>
      </c>
      <c r="F156" s="542"/>
      <c r="G156" s="542"/>
    </row>
    <row r="157" spans="1:7">
      <c r="A157" s="538" t="str">
        <f t="shared" si="2"/>
        <v>INDEC-CM - 42999-62</v>
      </c>
      <c r="B157" s="538">
        <v>42999</v>
      </c>
      <c r="C157" s="538" t="s">
        <v>44</v>
      </c>
      <c r="D157" s="538">
        <v>62</v>
      </c>
      <c r="E157" s="542" t="s">
        <v>196</v>
      </c>
      <c r="F157" s="542"/>
      <c r="G157" s="542"/>
    </row>
    <row r="158" spans="1:7">
      <c r="A158" s="538" t="str">
        <f t="shared" si="2"/>
        <v>INDEC-CM - 37610-11</v>
      </c>
      <c r="B158" s="538">
        <v>37610</v>
      </c>
      <c r="C158" s="538" t="s">
        <v>44</v>
      </c>
      <c r="D158" s="538">
        <v>11</v>
      </c>
      <c r="E158" s="542" t="s">
        <v>197</v>
      </c>
      <c r="F158" s="542"/>
      <c r="G158" s="542"/>
    </row>
    <row r="159" spans="1:7">
      <c r="A159" s="538" t="str">
        <f t="shared" si="2"/>
        <v>INDEC-CM - 37610-12</v>
      </c>
      <c r="B159" s="538">
        <v>37610</v>
      </c>
      <c r="C159" s="538" t="s">
        <v>44</v>
      </c>
      <c r="D159" s="538">
        <v>12</v>
      </c>
      <c r="E159" s="542" t="s">
        <v>198</v>
      </c>
      <c r="F159" s="542"/>
      <c r="G159" s="542"/>
    </row>
    <row r="160" spans="1:7">
      <c r="A160" s="538" t="str">
        <f t="shared" si="2"/>
        <v>INDEC-CM - 42943-11</v>
      </c>
      <c r="B160" s="538">
        <v>42943</v>
      </c>
      <c r="C160" s="538" t="s">
        <v>44</v>
      </c>
      <c r="D160" s="538">
        <v>11</v>
      </c>
      <c r="E160" s="542" t="s">
        <v>199</v>
      </c>
      <c r="F160" s="542"/>
      <c r="G160" s="542"/>
    </row>
    <row r="161" spans="1:7">
      <c r="A161" s="538" t="str">
        <f t="shared" si="2"/>
        <v>INDEC-CM - 37540-11</v>
      </c>
      <c r="B161" s="538">
        <v>37540</v>
      </c>
      <c r="C161" s="538" t="s">
        <v>44</v>
      </c>
      <c r="D161" s="538">
        <v>11</v>
      </c>
      <c r="E161" s="537" t="s">
        <v>200</v>
      </c>
    </row>
    <row r="162" spans="1:7">
      <c r="A162" s="538" t="str">
        <f t="shared" si="2"/>
        <v>INDEC-CM - 38130-16</v>
      </c>
      <c r="B162" s="538">
        <v>38130</v>
      </c>
      <c r="C162" s="538" t="s">
        <v>44</v>
      </c>
      <c r="D162" s="538">
        <v>16</v>
      </c>
      <c r="E162" s="542" t="s">
        <v>201</v>
      </c>
      <c r="F162" s="542"/>
      <c r="G162" s="542"/>
    </row>
    <row r="163" spans="1:7">
      <c r="A163" s="538" t="str">
        <f t="shared" si="2"/>
        <v>INDEC-CM - 38130-15</v>
      </c>
      <c r="B163" s="538">
        <v>38130</v>
      </c>
      <c r="C163" s="538" t="s">
        <v>44</v>
      </c>
      <c r="D163" s="538">
        <v>15</v>
      </c>
      <c r="E163" s="542" t="s">
        <v>202</v>
      </c>
      <c r="F163" s="542"/>
      <c r="G163" s="542"/>
    </row>
    <row r="164" spans="1:7">
      <c r="A164" s="538" t="str">
        <f t="shared" si="2"/>
        <v>INDEC-CM - 38130-14</v>
      </c>
      <c r="B164" s="538">
        <v>38130</v>
      </c>
      <c r="C164" s="538" t="s">
        <v>44</v>
      </c>
      <c r="D164" s="538">
        <v>14</v>
      </c>
      <c r="E164" s="542" t="s">
        <v>203</v>
      </c>
      <c r="F164" s="542"/>
      <c r="G164" s="542"/>
    </row>
    <row r="165" spans="1:7">
      <c r="A165" s="538" t="str">
        <f t="shared" si="2"/>
        <v>INDEC-CM - 35490-11</v>
      </c>
      <c r="B165" s="538">
        <v>35490</v>
      </c>
      <c r="C165" s="538" t="s">
        <v>44</v>
      </c>
      <c r="D165" s="538">
        <v>11</v>
      </c>
      <c r="E165" s="537" t="s">
        <v>204</v>
      </c>
    </row>
    <row r="166" spans="1:7">
      <c r="A166" s="538" t="str">
        <f t="shared" si="2"/>
        <v>INDEC-CM - 41251-11</v>
      </c>
      <c r="B166" s="538">
        <v>41251</v>
      </c>
      <c r="C166" s="538" t="s">
        <v>44</v>
      </c>
      <c r="D166" s="538">
        <v>11</v>
      </c>
      <c r="E166" s="542" t="s">
        <v>205</v>
      </c>
      <c r="F166" s="542"/>
      <c r="G166" s="542"/>
    </row>
    <row r="167" spans="1:7">
      <c r="A167" s="543" t="str">
        <f t="shared" si="2"/>
        <v>INDEC-CM - 41278-21</v>
      </c>
      <c r="B167" s="543">
        <v>41278</v>
      </c>
      <c r="C167" s="543" t="s">
        <v>44</v>
      </c>
      <c r="D167" s="543">
        <v>21</v>
      </c>
      <c r="E167" s="545" t="s">
        <v>206</v>
      </c>
      <c r="F167" s="537" t="s">
        <v>2038</v>
      </c>
    </row>
    <row r="168" spans="1:7">
      <c r="A168" s="538" t="str">
        <f t="shared" si="2"/>
        <v>INDEC-CM - 42911-71</v>
      </c>
      <c r="B168" s="538">
        <v>42911</v>
      </c>
      <c r="C168" s="538" t="s">
        <v>44</v>
      </c>
      <c r="D168" s="538">
        <v>71</v>
      </c>
      <c r="E168" s="542" t="s">
        <v>207</v>
      </c>
      <c r="F168" s="542"/>
      <c r="G168" s="542"/>
    </row>
    <row r="169" spans="1:7">
      <c r="A169" s="538" t="str">
        <f t="shared" si="2"/>
        <v>INDEC-CM - 37210-42</v>
      </c>
      <c r="B169" s="538">
        <v>37210</v>
      </c>
      <c r="C169" s="538" t="s">
        <v>44</v>
      </c>
      <c r="D169" s="538">
        <v>42</v>
      </c>
      <c r="E169" s="542" t="s">
        <v>208</v>
      </c>
      <c r="F169" s="542"/>
      <c r="G169" s="542"/>
    </row>
    <row r="170" spans="1:7">
      <c r="A170" s="538" t="str">
        <f t="shared" si="2"/>
        <v>INDEC-CM - 37210-41</v>
      </c>
      <c r="B170" s="538">
        <v>37210</v>
      </c>
      <c r="C170" s="538" t="s">
        <v>44</v>
      </c>
      <c r="D170" s="538">
        <v>41</v>
      </c>
      <c r="E170" s="542" t="s">
        <v>209</v>
      </c>
      <c r="F170" s="542"/>
      <c r="G170" s="542"/>
    </row>
    <row r="171" spans="1:7">
      <c r="A171" s="538" t="str">
        <f t="shared" si="2"/>
        <v>INDEC-CM - 36930-11</v>
      </c>
      <c r="B171" s="538">
        <v>36930</v>
      </c>
      <c r="C171" s="538" t="s">
        <v>44</v>
      </c>
      <c r="D171" s="538">
        <v>11</v>
      </c>
      <c r="E171" s="537" t="s">
        <v>210</v>
      </c>
    </row>
    <row r="172" spans="1:7">
      <c r="A172" s="538" t="str">
        <f t="shared" si="2"/>
        <v>INDEC-CM - 36950-21</v>
      </c>
      <c r="B172" s="538">
        <v>36950</v>
      </c>
      <c r="C172" s="538" t="s">
        <v>44</v>
      </c>
      <c r="D172" s="538">
        <v>21</v>
      </c>
      <c r="E172" s="537" t="s">
        <v>211</v>
      </c>
    </row>
    <row r="173" spans="1:7">
      <c r="A173" s="538" t="str">
        <f t="shared" si="2"/>
        <v>INDEC-CM - 35110-31</v>
      </c>
      <c r="B173" s="538">
        <v>35110</v>
      </c>
      <c r="C173" s="538" t="s">
        <v>44</v>
      </c>
      <c r="D173" s="538">
        <v>31</v>
      </c>
      <c r="E173" s="537" t="s">
        <v>212</v>
      </c>
    </row>
    <row r="174" spans="1:7">
      <c r="A174" s="538" t="str">
        <f t="shared" si="2"/>
        <v>INDEC-CM - 35110-32</v>
      </c>
      <c r="B174" s="538">
        <v>35110</v>
      </c>
      <c r="C174" s="538" t="s">
        <v>44</v>
      </c>
      <c r="D174" s="538">
        <v>32</v>
      </c>
      <c r="E174" s="537" t="s">
        <v>213</v>
      </c>
    </row>
    <row r="175" spans="1:7">
      <c r="A175" s="538" t="str">
        <f t="shared" si="2"/>
        <v>INDEC-CM - 37940-11</v>
      </c>
      <c r="B175" s="538">
        <v>37940</v>
      </c>
      <c r="C175" s="538" t="s">
        <v>44</v>
      </c>
      <c r="D175" s="538">
        <v>11</v>
      </c>
      <c r="E175" s="537" t="s">
        <v>214</v>
      </c>
    </row>
    <row r="176" spans="1:7">
      <c r="A176" s="538" t="str">
        <f t="shared" si="2"/>
        <v>INDEC-CM - 35110-71</v>
      </c>
      <c r="B176" s="538">
        <v>35110</v>
      </c>
      <c r="C176" s="538" t="s">
        <v>44</v>
      </c>
      <c r="D176" s="538">
        <v>71</v>
      </c>
      <c r="E176" s="537" t="s">
        <v>215</v>
      </c>
    </row>
    <row r="177" spans="1:7">
      <c r="A177" s="538" t="str">
        <f t="shared" si="2"/>
        <v>INDEC-CM - 31210-31</v>
      </c>
      <c r="B177" s="538">
        <v>31210</v>
      </c>
      <c r="C177" s="538" t="s">
        <v>44</v>
      </c>
      <c r="D177" s="538">
        <v>31</v>
      </c>
      <c r="E177" s="537" t="s">
        <v>216</v>
      </c>
    </row>
    <row r="178" spans="1:7">
      <c r="A178" s="538" t="str">
        <f t="shared" si="2"/>
        <v>INDEC-CM - 31210-32</v>
      </c>
      <c r="B178" s="538">
        <v>31210</v>
      </c>
      <c r="C178" s="538" t="s">
        <v>44</v>
      </c>
      <c r="D178" s="538">
        <v>32</v>
      </c>
      <c r="E178" s="537" t="s">
        <v>217</v>
      </c>
    </row>
    <row r="179" spans="1:7">
      <c r="A179" s="538" t="str">
        <f t="shared" si="2"/>
        <v>INDEC-CM - 41541-11</v>
      </c>
      <c r="B179" s="538">
        <v>41541</v>
      </c>
      <c r="C179" s="538" t="s">
        <v>44</v>
      </c>
      <c r="D179" s="538">
        <v>11</v>
      </c>
      <c r="E179" s="537" t="s">
        <v>218</v>
      </c>
    </row>
    <row r="180" spans="1:7">
      <c r="A180" s="538" t="str">
        <f t="shared" si="2"/>
        <v>INDEC-CM - 34720-11</v>
      </c>
      <c r="B180" s="538">
        <v>34720</v>
      </c>
      <c r="C180" s="538" t="s">
        <v>44</v>
      </c>
      <c r="D180" s="538">
        <v>11</v>
      </c>
      <c r="E180" s="542" t="s">
        <v>219</v>
      </c>
      <c r="F180" s="542"/>
      <c r="G180" s="542"/>
    </row>
    <row r="181" spans="1:7">
      <c r="A181" s="538" t="str">
        <f t="shared" si="2"/>
        <v>INDEC-CM - 47220-11</v>
      </c>
      <c r="B181" s="538">
        <v>47220</v>
      </c>
      <c r="C181" s="538" t="s">
        <v>44</v>
      </c>
      <c r="D181" s="538">
        <v>11</v>
      </c>
      <c r="E181" s="542" t="s">
        <v>220</v>
      </c>
      <c r="F181" s="542"/>
      <c r="G181" s="542"/>
    </row>
    <row r="182" spans="1:7">
      <c r="A182" s="538" t="str">
        <f t="shared" si="2"/>
        <v>INDEC-CM - 31600-81</v>
      </c>
      <c r="B182" s="538">
        <v>31600</v>
      </c>
      <c r="C182" s="538" t="s">
        <v>44</v>
      </c>
      <c r="D182" s="538">
        <v>81</v>
      </c>
      <c r="E182" s="537" t="s">
        <v>221</v>
      </c>
    </row>
    <row r="183" spans="1:7">
      <c r="A183" s="538" t="str">
        <f t="shared" si="2"/>
        <v>INDEC-CM - 42120-31</v>
      </c>
      <c r="B183" s="538">
        <v>42120</v>
      </c>
      <c r="C183" s="538" t="s">
        <v>44</v>
      </c>
      <c r="D183" s="538">
        <v>31</v>
      </c>
      <c r="E183" s="537" t="s">
        <v>222</v>
      </c>
    </row>
    <row r="184" spans="1:7">
      <c r="A184" s="538" t="str">
        <f t="shared" si="2"/>
        <v>INDEC-CM - 35490-21</v>
      </c>
      <c r="B184" s="538">
        <v>35490</v>
      </c>
      <c r="C184" s="538" t="s">
        <v>44</v>
      </c>
      <c r="D184" s="538">
        <v>21</v>
      </c>
      <c r="E184" s="542" t="s">
        <v>223</v>
      </c>
      <c r="F184" s="542"/>
      <c r="G184" s="542"/>
    </row>
    <row r="185" spans="1:7">
      <c r="A185" s="538" t="str">
        <f t="shared" si="2"/>
        <v>INDEC-CM - 31600-41</v>
      </c>
      <c r="B185" s="538">
        <v>31600</v>
      </c>
      <c r="C185" s="538" t="s">
        <v>44</v>
      </c>
      <c r="D185" s="538">
        <v>41</v>
      </c>
      <c r="E185" s="542" t="s">
        <v>224</v>
      </c>
      <c r="F185" s="542"/>
      <c r="G185" s="542"/>
    </row>
    <row r="186" spans="1:7">
      <c r="A186" s="538" t="str">
        <f t="shared" si="2"/>
        <v>INDEC-CM - 42120-21</v>
      </c>
      <c r="B186" s="538">
        <v>42120</v>
      </c>
      <c r="C186" s="538" t="s">
        <v>44</v>
      </c>
      <c r="D186" s="538">
        <v>21</v>
      </c>
      <c r="E186" s="542" t="s">
        <v>225</v>
      </c>
      <c r="F186" s="542"/>
      <c r="G186" s="542"/>
    </row>
    <row r="187" spans="1:7">
      <c r="A187" s="538" t="str">
        <f t="shared" si="2"/>
        <v>INDEC-CM - 42120-22</v>
      </c>
      <c r="B187" s="538">
        <v>42120</v>
      </c>
      <c r="C187" s="538" t="s">
        <v>44</v>
      </c>
      <c r="D187" s="538">
        <v>22</v>
      </c>
      <c r="E187" s="542" t="s">
        <v>226</v>
      </c>
      <c r="F187" s="542"/>
      <c r="G187" s="542"/>
    </row>
    <row r="188" spans="1:7">
      <c r="A188" s="538" t="str">
        <f t="shared" si="2"/>
        <v>INDEC-CM - 31600-33</v>
      </c>
      <c r="B188" s="538">
        <v>31600</v>
      </c>
      <c r="C188" s="538" t="s">
        <v>44</v>
      </c>
      <c r="D188" s="538">
        <v>33</v>
      </c>
      <c r="E188" s="537" t="s">
        <v>227</v>
      </c>
    </row>
    <row r="189" spans="1:7">
      <c r="A189" s="538" t="str">
        <f t="shared" si="2"/>
        <v>INDEC-CM - 31600-32</v>
      </c>
      <c r="B189" s="538">
        <v>31600</v>
      </c>
      <c r="C189" s="538" t="s">
        <v>44</v>
      </c>
      <c r="D189" s="538">
        <v>32</v>
      </c>
      <c r="E189" s="537" t="s">
        <v>228</v>
      </c>
    </row>
    <row r="190" spans="1:7">
      <c r="A190" s="538" t="str">
        <f t="shared" si="2"/>
        <v>INDEC-CM - 31600-31</v>
      </c>
      <c r="B190" s="538">
        <v>31600</v>
      </c>
      <c r="C190" s="538" t="s">
        <v>44</v>
      </c>
      <c r="D190" s="538">
        <v>31</v>
      </c>
      <c r="E190" s="537" t="s">
        <v>229</v>
      </c>
    </row>
    <row r="191" spans="1:7">
      <c r="A191" s="538" t="str">
        <f t="shared" si="2"/>
        <v>INDEC-CM - 42120-11</v>
      </c>
      <c r="B191" s="538">
        <v>42120</v>
      </c>
      <c r="C191" s="538" t="s">
        <v>44</v>
      </c>
      <c r="D191" s="538">
        <v>11</v>
      </c>
      <c r="E191" s="537" t="s">
        <v>230</v>
      </c>
    </row>
    <row r="192" spans="1:7">
      <c r="A192" s="538" t="str">
        <f t="shared" si="2"/>
        <v>INDEC-CM - 31600-23</v>
      </c>
      <c r="B192" s="538">
        <v>31600</v>
      </c>
      <c r="C192" s="538" t="s">
        <v>44</v>
      </c>
      <c r="D192" s="538">
        <v>23</v>
      </c>
      <c r="E192" s="537" t="s">
        <v>231</v>
      </c>
    </row>
    <row r="193" spans="1:7">
      <c r="A193" s="538" t="str">
        <f t="shared" si="2"/>
        <v>INDEC-CM - 31600-22</v>
      </c>
      <c r="B193" s="538">
        <v>31600</v>
      </c>
      <c r="C193" s="538" t="s">
        <v>44</v>
      </c>
      <c r="D193" s="538">
        <v>22</v>
      </c>
      <c r="E193" s="537" t="s">
        <v>232</v>
      </c>
    </row>
    <row r="194" spans="1:7">
      <c r="A194" s="538" t="str">
        <f t="shared" si="2"/>
        <v>INDEC-CM - 31600-21</v>
      </c>
      <c r="B194" s="538">
        <v>31600</v>
      </c>
      <c r="C194" s="538" t="s">
        <v>44</v>
      </c>
      <c r="D194" s="538">
        <v>21</v>
      </c>
      <c r="E194" s="537" t="s">
        <v>233</v>
      </c>
    </row>
    <row r="195" spans="1:7">
      <c r="A195" s="538" t="str">
        <f t="shared" si="2"/>
        <v>INDEC-CM - 41278-33</v>
      </c>
      <c r="B195" s="538">
        <v>41278</v>
      </c>
      <c r="C195" s="538" t="s">
        <v>44</v>
      </c>
      <c r="D195" s="538">
        <v>33</v>
      </c>
      <c r="E195" s="542" t="s">
        <v>234</v>
      </c>
      <c r="F195" s="542"/>
      <c r="G195" s="542"/>
    </row>
    <row r="196" spans="1:7">
      <c r="A196" s="538" t="str">
        <f t="shared" si="2"/>
        <v>INDEC-CM - 36320-33</v>
      </c>
      <c r="B196" s="538">
        <v>36320</v>
      </c>
      <c r="C196" s="538" t="s">
        <v>44</v>
      </c>
      <c r="D196" s="538">
        <v>33</v>
      </c>
      <c r="E196" s="537" t="s">
        <v>235</v>
      </c>
    </row>
    <row r="197" spans="1:7">
      <c r="A197" s="538" t="str">
        <f t="shared" si="2"/>
        <v>INDEC-CM - 48270-11</v>
      </c>
      <c r="B197" s="538">
        <v>48270</v>
      </c>
      <c r="C197" s="538" t="s">
        <v>44</v>
      </c>
      <c r="D197" s="538">
        <v>11</v>
      </c>
      <c r="E197" s="542" t="s">
        <v>236</v>
      </c>
      <c r="F197" s="542"/>
      <c r="G197" s="542"/>
    </row>
    <row r="198" spans="1:7">
      <c r="A198" s="538" t="str">
        <f t="shared" ref="A198:A220" si="3">CONCATENATE("INDEC-CM - ",B198,C198,D198)</f>
        <v>INDEC-CM - 42190-11</v>
      </c>
      <c r="B198" s="538">
        <v>42190</v>
      </c>
      <c r="C198" s="538" t="s">
        <v>44</v>
      </c>
      <c r="D198" s="538">
        <v>11</v>
      </c>
      <c r="E198" s="537" t="s">
        <v>237</v>
      </c>
    </row>
    <row r="199" spans="1:7">
      <c r="A199" s="538" t="str">
        <f t="shared" si="3"/>
        <v>INDEC-CM - 43923-31</v>
      </c>
      <c r="B199" s="538">
        <v>43923</v>
      </c>
      <c r="C199" s="538" t="s">
        <v>44</v>
      </c>
      <c r="D199" s="538">
        <v>31</v>
      </c>
      <c r="E199" s="542" t="s">
        <v>238</v>
      </c>
      <c r="F199" s="542"/>
      <c r="G199" s="542"/>
    </row>
    <row r="200" spans="1:7">
      <c r="A200" s="538" t="str">
        <f t="shared" si="3"/>
        <v>INDEC-CM - 31210-11</v>
      </c>
      <c r="B200" s="538">
        <v>31210</v>
      </c>
      <c r="C200" s="538" t="s">
        <v>44</v>
      </c>
      <c r="D200" s="538">
        <v>11</v>
      </c>
      <c r="E200" s="542" t="s">
        <v>239</v>
      </c>
      <c r="F200" s="542"/>
      <c r="G200" s="542"/>
    </row>
    <row r="201" spans="1:7">
      <c r="A201" s="538" t="str">
        <f t="shared" si="3"/>
        <v>INDEC-CM - 37129-21</v>
      </c>
      <c r="B201" s="538">
        <v>37129</v>
      </c>
      <c r="C201" s="538" t="s">
        <v>44</v>
      </c>
      <c r="D201" s="538">
        <v>21</v>
      </c>
      <c r="E201" s="537" t="s">
        <v>240</v>
      </c>
    </row>
    <row r="202" spans="1:7">
      <c r="A202" s="538" t="str">
        <f t="shared" si="3"/>
        <v>INDEC-CM - 37560-21</v>
      </c>
      <c r="B202" s="538">
        <v>37560</v>
      </c>
      <c r="C202" s="538" t="s">
        <v>44</v>
      </c>
      <c r="D202" s="538">
        <v>21</v>
      </c>
      <c r="E202" s="542" t="s">
        <v>241</v>
      </c>
      <c r="F202" s="542"/>
      <c r="G202" s="542"/>
    </row>
    <row r="203" spans="1:7">
      <c r="A203" s="538" t="str">
        <f t="shared" si="3"/>
        <v>INDEC-CM - 42999-71</v>
      </c>
      <c r="B203" s="538">
        <v>42999</v>
      </c>
      <c r="C203" s="538" t="s">
        <v>44</v>
      </c>
      <c r="D203" s="538">
        <v>71</v>
      </c>
      <c r="E203" s="537" t="s">
        <v>242</v>
      </c>
    </row>
    <row r="204" spans="1:7">
      <c r="A204" s="538" t="str">
        <f t="shared" si="3"/>
        <v>INDEC-CM - 41516-22</v>
      </c>
      <c r="B204" s="538">
        <v>41516</v>
      </c>
      <c r="C204" s="538" t="s">
        <v>44</v>
      </c>
      <c r="D204" s="538">
        <v>22</v>
      </c>
      <c r="E204" s="537" t="s">
        <v>243</v>
      </c>
    </row>
    <row r="205" spans="1:7">
      <c r="A205" s="538" t="str">
        <f t="shared" si="3"/>
        <v>INDEC-CM - 37350-51</v>
      </c>
      <c r="B205" s="538">
        <v>37350</v>
      </c>
      <c r="C205" s="538" t="s">
        <v>44</v>
      </c>
      <c r="D205" s="538">
        <v>51</v>
      </c>
      <c r="E205" s="537" t="s">
        <v>244</v>
      </c>
    </row>
    <row r="206" spans="1:7">
      <c r="A206" s="538" t="str">
        <f t="shared" si="3"/>
        <v>INDEC-CM - 44826-21</v>
      </c>
      <c r="B206" s="538">
        <v>44826</v>
      </c>
      <c r="C206" s="538" t="s">
        <v>44</v>
      </c>
      <c r="D206" s="538">
        <v>21</v>
      </c>
      <c r="E206" s="537" t="s">
        <v>245</v>
      </c>
    </row>
    <row r="207" spans="1:7">
      <c r="A207" s="538" t="str">
        <f t="shared" si="3"/>
        <v>INDEC-CM - 31210-22</v>
      </c>
      <c r="B207" s="538">
        <v>31210</v>
      </c>
      <c r="C207" s="538" t="s">
        <v>44</v>
      </c>
      <c r="D207" s="538">
        <v>22</v>
      </c>
      <c r="E207" s="537" t="s">
        <v>246</v>
      </c>
    </row>
    <row r="208" spans="1:7">
      <c r="A208" s="538" t="str">
        <f t="shared" si="3"/>
        <v>INDEC-CM - 31100-11</v>
      </c>
      <c r="B208" s="538">
        <v>31100</v>
      </c>
      <c r="C208" s="538" t="s">
        <v>44</v>
      </c>
      <c r="D208" s="538">
        <v>11</v>
      </c>
      <c r="E208" s="537" t="s">
        <v>247</v>
      </c>
    </row>
    <row r="209" spans="1:7">
      <c r="A209" s="538" t="str">
        <f t="shared" si="3"/>
        <v>INDEC-CM - 46212-53</v>
      </c>
      <c r="B209" s="538">
        <v>46212</v>
      </c>
      <c r="C209" s="538" t="s">
        <v>44</v>
      </c>
      <c r="D209" s="538">
        <v>53</v>
      </c>
      <c r="E209" s="537" t="s">
        <v>248</v>
      </c>
    </row>
    <row r="210" spans="1:7">
      <c r="A210" s="538" t="str">
        <f t="shared" si="3"/>
        <v>INDEC-CM - 46212-52</v>
      </c>
      <c r="B210" s="538">
        <v>46212</v>
      </c>
      <c r="C210" s="538" t="s">
        <v>44</v>
      </c>
      <c r="D210" s="538">
        <v>52</v>
      </c>
      <c r="E210" s="542" t="s">
        <v>249</v>
      </c>
      <c r="F210" s="542"/>
      <c r="G210" s="542"/>
    </row>
    <row r="211" spans="1:7">
      <c r="A211" s="538" t="str">
        <f t="shared" si="3"/>
        <v>INDEC-CM - 15400-21</v>
      </c>
      <c r="B211" s="538">
        <v>15400</v>
      </c>
      <c r="C211" s="538" t="s">
        <v>44</v>
      </c>
      <c r="D211" s="538">
        <v>21</v>
      </c>
      <c r="E211" s="537" t="s">
        <v>250</v>
      </c>
    </row>
    <row r="212" spans="1:7">
      <c r="A212" s="538" t="str">
        <f t="shared" si="3"/>
        <v>INDEC-CM - 43240-11</v>
      </c>
      <c r="B212" s="538">
        <v>43240</v>
      </c>
      <c r="C212" s="538" t="s">
        <v>44</v>
      </c>
      <c r="D212" s="538">
        <v>11</v>
      </c>
      <c r="E212" s="537" t="s">
        <v>251</v>
      </c>
    </row>
    <row r="213" spans="1:7">
      <c r="A213" s="538" t="str">
        <f t="shared" si="3"/>
        <v>INDEC-CM - 31600-42</v>
      </c>
      <c r="B213" s="538">
        <v>31600</v>
      </c>
      <c r="C213" s="538" t="s">
        <v>44</v>
      </c>
      <c r="D213" s="538">
        <v>42</v>
      </c>
      <c r="E213" s="542" t="s">
        <v>252</v>
      </c>
      <c r="F213" s="542"/>
      <c r="G213" s="542"/>
    </row>
    <row r="214" spans="1:7">
      <c r="A214" s="543" t="str">
        <f t="shared" si="3"/>
        <v>INDEC-CM - 42120-42</v>
      </c>
      <c r="B214" s="543">
        <v>42120</v>
      </c>
      <c r="C214" s="543" t="s">
        <v>44</v>
      </c>
      <c r="D214" s="543">
        <v>42</v>
      </c>
      <c r="E214" s="545" t="s">
        <v>253</v>
      </c>
      <c r="F214" s="537" t="s">
        <v>2038</v>
      </c>
    </row>
    <row r="215" spans="1:7">
      <c r="A215" s="543" t="str">
        <f t="shared" si="3"/>
        <v>INDEC-CM - 42120-41</v>
      </c>
      <c r="B215" s="543">
        <v>42120</v>
      </c>
      <c r="C215" s="543" t="s">
        <v>44</v>
      </c>
      <c r="D215" s="543">
        <v>41</v>
      </c>
      <c r="E215" s="545" t="s">
        <v>254</v>
      </c>
      <c r="F215" s="537" t="s">
        <v>2038</v>
      </c>
    </row>
    <row r="216" spans="1:7">
      <c r="A216" s="543" t="str">
        <f t="shared" si="3"/>
        <v>INDEC-CM - 42120-51</v>
      </c>
      <c r="B216" s="543">
        <v>42120</v>
      </c>
      <c r="C216" s="543" t="s">
        <v>44</v>
      </c>
      <c r="D216" s="543">
        <v>51</v>
      </c>
      <c r="E216" s="544" t="s">
        <v>255</v>
      </c>
      <c r="F216" s="537" t="s">
        <v>2038</v>
      </c>
    </row>
    <row r="217" spans="1:7">
      <c r="A217" s="538" t="str">
        <f t="shared" si="3"/>
        <v>INDEC-CM - 37550-11</v>
      </c>
      <c r="B217" s="538">
        <v>37550</v>
      </c>
      <c r="C217" s="538" t="s">
        <v>44</v>
      </c>
      <c r="D217" s="538">
        <v>11</v>
      </c>
      <c r="E217" s="537" t="s">
        <v>256</v>
      </c>
    </row>
    <row r="218" spans="1:7">
      <c r="A218" s="538" t="str">
        <f t="shared" si="3"/>
        <v>INDEC-CM - 37410-11</v>
      </c>
      <c r="B218" s="538">
        <v>37410</v>
      </c>
      <c r="C218" s="538" t="s">
        <v>44</v>
      </c>
      <c r="D218" s="538">
        <v>11</v>
      </c>
      <c r="E218" s="537" t="s">
        <v>257</v>
      </c>
    </row>
    <row r="219" spans="1:7">
      <c r="A219" s="538" t="str">
        <f t="shared" si="3"/>
        <v>INDEC-CM - 31210-33</v>
      </c>
      <c r="B219" s="538">
        <v>31210</v>
      </c>
      <c r="C219" s="538" t="s">
        <v>44</v>
      </c>
      <c r="D219" s="538">
        <v>33</v>
      </c>
      <c r="E219" s="537" t="s">
        <v>258</v>
      </c>
    </row>
    <row r="220" spans="1:7">
      <c r="A220" s="538" t="str">
        <f t="shared" si="3"/>
        <v>INDEC-CM - 37540-21</v>
      </c>
      <c r="B220" s="538">
        <v>37540</v>
      </c>
      <c r="C220" s="538" t="s">
        <v>44</v>
      </c>
      <c r="D220" s="538">
        <v>21</v>
      </c>
      <c r="E220" s="537" t="s">
        <v>259</v>
      </c>
    </row>
    <row r="223" spans="1:7">
      <c r="A223" s="17"/>
      <c r="B223" s="536" t="s">
        <v>534</v>
      </c>
      <c r="C223" s="16"/>
      <c r="D223" s="16"/>
      <c r="E223" s="17"/>
    </row>
    <row r="224" spans="1:7">
      <c r="A224" s="17"/>
      <c r="B224" s="546"/>
      <c r="C224" s="16"/>
      <c r="D224" s="16"/>
      <c r="E224" s="17"/>
    </row>
    <row r="225" spans="1:5">
      <c r="A225" s="733" t="s">
        <v>342</v>
      </c>
      <c r="B225" s="733" t="s">
        <v>41</v>
      </c>
      <c r="C225" s="733"/>
      <c r="D225" s="733"/>
      <c r="E225" s="733" t="s">
        <v>42</v>
      </c>
    </row>
    <row r="226" spans="1:5">
      <c r="A226" s="733"/>
      <c r="B226" s="733" t="s">
        <v>43</v>
      </c>
      <c r="C226" s="733"/>
      <c r="D226" s="733"/>
      <c r="E226" s="733"/>
    </row>
    <row r="227" spans="1:5">
      <c r="A227" s="538" t="str">
        <f>CONCATENATE(B227,C227,D227)</f>
        <v/>
      </c>
      <c r="B227" s="547"/>
      <c r="C227" s="16"/>
      <c r="D227" s="16"/>
      <c r="E227" s="17"/>
    </row>
    <row r="228" spans="1:5">
      <c r="A228" s="538" t="str">
        <f>CONCATENATE("INDEC-CM - ",B228,C228,D228)</f>
        <v>INDEC-CM - 37370-0</v>
      </c>
      <c r="B228" s="16">
        <v>37370</v>
      </c>
      <c r="C228" s="16" t="s">
        <v>44</v>
      </c>
      <c r="D228" s="16">
        <v>0</v>
      </c>
      <c r="E228" s="17" t="s">
        <v>535</v>
      </c>
    </row>
    <row r="229" spans="1:5">
      <c r="A229" s="538" t="str">
        <f>CONCATENATE("INDEC-CM - ",B229,C229,D229)</f>
        <v>INDEC-CM - 31600-6</v>
      </c>
      <c r="B229" s="16">
        <v>31600</v>
      </c>
      <c r="C229" s="16" t="s">
        <v>44</v>
      </c>
      <c r="D229" s="16">
        <v>6</v>
      </c>
      <c r="E229" s="17" t="s">
        <v>536</v>
      </c>
    </row>
    <row r="230" spans="1:5">
      <c r="A230" s="538" t="str">
        <f>CONCATENATE("INDEC-CM - ",B230,C230,D230)</f>
        <v>INDEC-CM - 41278-0</v>
      </c>
      <c r="B230" s="16">
        <v>41278</v>
      </c>
      <c r="C230" s="16" t="s">
        <v>44</v>
      </c>
      <c r="D230" s="16">
        <v>0</v>
      </c>
      <c r="E230" s="17" t="s">
        <v>537</v>
      </c>
    </row>
    <row r="231" spans="1:5">
      <c r="A231" s="538" t="str">
        <f>CONCATENATE("INDEC-CM - ",B231,C231,D231)</f>
        <v>INDEC-CM - 31600-7</v>
      </c>
      <c r="B231" s="16">
        <v>31600</v>
      </c>
      <c r="C231" s="16" t="s">
        <v>44</v>
      </c>
      <c r="D231" s="16">
        <v>7</v>
      </c>
      <c r="E231" s="17" t="s">
        <v>538</v>
      </c>
    </row>
    <row r="232" spans="1:5">
      <c r="A232" s="538" t="str">
        <f>CONCATENATE("INDEC-CM - ",B232,C232,D232)</f>
        <v>INDEC-CM - 42120-41/42/51</v>
      </c>
      <c r="B232" s="16">
        <v>42120</v>
      </c>
      <c r="C232" s="16" t="s">
        <v>44</v>
      </c>
      <c r="D232" s="16" t="s">
        <v>539</v>
      </c>
      <c r="E232" s="17" t="s">
        <v>540</v>
      </c>
    </row>
    <row r="235" spans="1:5">
      <c r="A235" s="536"/>
      <c r="B235" s="536" t="s">
        <v>542</v>
      </c>
      <c r="C235" s="536"/>
      <c r="D235" s="536"/>
      <c r="E235" s="536"/>
    </row>
    <row r="236" spans="1:5">
      <c r="A236" s="542"/>
      <c r="D236" s="548"/>
    </row>
    <row r="237" spans="1:5">
      <c r="A237" s="733" t="s">
        <v>342</v>
      </c>
      <c r="B237" s="733" t="s">
        <v>41</v>
      </c>
      <c r="C237" s="733"/>
      <c r="D237" s="733"/>
      <c r="E237" s="733" t="s">
        <v>330</v>
      </c>
    </row>
    <row r="238" spans="1:5">
      <c r="A238" s="733"/>
      <c r="B238" s="733"/>
      <c r="C238" s="733"/>
      <c r="D238" s="733"/>
      <c r="E238" s="733"/>
    </row>
    <row r="239" spans="1:5">
      <c r="E239" s="549" t="s">
        <v>266</v>
      </c>
    </row>
    <row r="240" spans="1:5">
      <c r="E240" s="549"/>
    </row>
    <row r="241" spans="1:5">
      <c r="A241" s="542"/>
      <c r="D241" s="548"/>
      <c r="E241" s="535" t="s">
        <v>331</v>
      </c>
    </row>
    <row r="242" spans="1:5">
      <c r="A242" s="542"/>
      <c r="D242" s="548"/>
      <c r="E242" s="535"/>
    </row>
    <row r="243" spans="1:5">
      <c r="B243" s="548"/>
      <c r="E243" s="535" t="s">
        <v>332</v>
      </c>
    </row>
    <row r="244" spans="1:5">
      <c r="A244" s="538" t="str">
        <f>CONCATENATE("INDEC-MO - ",B244,C244,D244)</f>
        <v>INDEC-MO - 51560-11</v>
      </c>
      <c r="B244" s="538">
        <v>51560</v>
      </c>
      <c r="C244" s="538" t="s">
        <v>44</v>
      </c>
      <c r="D244" s="538">
        <v>11</v>
      </c>
      <c r="E244" s="541" t="s">
        <v>1867</v>
      </c>
    </row>
    <row r="245" spans="1:5">
      <c r="A245" s="538" t="str">
        <f>CONCATENATE("INDEC-MO - ",B245,C245,D245)</f>
        <v>INDEC-MO - 51560-12</v>
      </c>
      <c r="B245" s="538">
        <v>51560</v>
      </c>
      <c r="C245" s="538" t="s">
        <v>44</v>
      </c>
      <c r="D245" s="538">
        <v>12</v>
      </c>
      <c r="E245" s="541" t="s">
        <v>902</v>
      </c>
    </row>
    <row r="246" spans="1:5">
      <c r="A246" s="538" t="str">
        <f>CONCATENATE("INDEC-MO - ",B246,C246,D246)</f>
        <v>INDEC-MO - 51560-13</v>
      </c>
      <c r="B246" s="538">
        <v>51560</v>
      </c>
      <c r="C246" s="538" t="s">
        <v>44</v>
      </c>
      <c r="D246" s="538">
        <v>13</v>
      </c>
      <c r="E246" s="541" t="s">
        <v>1012</v>
      </c>
    </row>
    <row r="247" spans="1:5">
      <c r="A247" s="538" t="str">
        <f>CONCATENATE("INDEC-MO - ",B247,C247,D247)</f>
        <v>INDEC-MO - 51560-14</v>
      </c>
      <c r="B247" s="538">
        <v>51560</v>
      </c>
      <c r="C247" s="538" t="s">
        <v>44</v>
      </c>
      <c r="D247" s="538">
        <v>14</v>
      </c>
      <c r="E247" s="541" t="s">
        <v>716</v>
      </c>
    </row>
    <row r="248" spans="1:5">
      <c r="A248" s="538" t="str">
        <f>CONCATENATE(B248,C248,D248)</f>
        <v/>
      </c>
    </row>
    <row r="249" spans="1:5">
      <c r="A249" s="538" t="str">
        <f>CONCATENATE("INDEC-MO - ",B249,C249,D249)</f>
        <v>INDEC-MO - 51560-32</v>
      </c>
      <c r="B249" s="538">
        <v>51560</v>
      </c>
      <c r="C249" s="538" t="s">
        <v>44</v>
      </c>
      <c r="D249" s="538">
        <v>32</v>
      </c>
      <c r="E249" s="535" t="s">
        <v>333</v>
      </c>
    </row>
    <row r="250" spans="1:5">
      <c r="A250" s="538" t="str">
        <f>CONCATENATE(B250,C250,D250)</f>
        <v/>
      </c>
    </row>
    <row r="251" spans="1:5">
      <c r="A251" s="538" t="str">
        <f>CONCATENATE("INDEC-MO - ",B251,C251,D251)</f>
        <v>INDEC-MO - 81291-1</v>
      </c>
      <c r="B251" s="538">
        <v>81291</v>
      </c>
      <c r="C251" s="538" t="s">
        <v>44</v>
      </c>
      <c r="D251" s="538">
        <v>1</v>
      </c>
      <c r="E251" s="549" t="s">
        <v>334</v>
      </c>
    </row>
    <row r="252" spans="1:5">
      <c r="A252" s="538" t="str">
        <f>CONCATENATE(B252,C252,D252)</f>
        <v/>
      </c>
    </row>
    <row r="253" spans="1:5">
      <c r="A253" s="538" t="str">
        <f>CONCATENATE(B253,C253,D253)</f>
        <v/>
      </c>
      <c r="E253" s="549" t="s">
        <v>335</v>
      </c>
    </row>
    <row r="254" spans="1:5">
      <c r="A254" s="538" t="str">
        <f t="shared" ref="A254:A259" si="4">CONCATENATE("INDEC-MO - ",B254,C254,D254)</f>
        <v>INDEC-MO - 51641-1</v>
      </c>
      <c r="B254" s="538">
        <v>51641</v>
      </c>
      <c r="C254" s="538" t="s">
        <v>44</v>
      </c>
      <c r="D254" s="538">
        <v>1</v>
      </c>
      <c r="E254" s="541" t="s">
        <v>336</v>
      </c>
    </row>
    <row r="255" spans="1:5">
      <c r="A255" s="538" t="str">
        <f t="shared" si="4"/>
        <v>INDEC-MO - 51620-1</v>
      </c>
      <c r="B255" s="538">
        <v>51620</v>
      </c>
      <c r="C255" s="538" t="s">
        <v>44</v>
      </c>
      <c r="D255" s="538">
        <v>1</v>
      </c>
      <c r="E255" s="541" t="s">
        <v>337</v>
      </c>
    </row>
    <row r="256" spans="1:5">
      <c r="A256" s="538" t="str">
        <f t="shared" si="4"/>
        <v>INDEC-MO - 51690-1</v>
      </c>
      <c r="B256" s="538">
        <v>51690</v>
      </c>
      <c r="C256" s="538" t="s">
        <v>44</v>
      </c>
      <c r="D256" s="538">
        <v>1</v>
      </c>
      <c r="E256" s="541" t="s">
        <v>338</v>
      </c>
    </row>
    <row r="257" spans="1:7">
      <c r="A257" s="538" t="str">
        <f t="shared" si="4"/>
        <v>INDEC-MO - 51630-1</v>
      </c>
      <c r="B257" s="538">
        <v>51630</v>
      </c>
      <c r="C257" s="538" t="s">
        <v>44</v>
      </c>
      <c r="D257" s="538">
        <v>1</v>
      </c>
      <c r="E257" s="541" t="s">
        <v>339</v>
      </c>
    </row>
    <row r="258" spans="1:7">
      <c r="A258" s="543" t="str">
        <f t="shared" si="4"/>
        <v>INDEC-MO - 51720-1</v>
      </c>
      <c r="B258" s="543">
        <v>51720</v>
      </c>
      <c r="C258" s="543" t="s">
        <v>44</v>
      </c>
      <c r="D258" s="543">
        <v>1</v>
      </c>
      <c r="E258" s="550" t="s">
        <v>340</v>
      </c>
      <c r="F258" s="537" t="s">
        <v>2038</v>
      </c>
    </row>
    <row r="259" spans="1:7">
      <c r="A259" s="538" t="str">
        <f t="shared" si="4"/>
        <v>INDEC-MO - 51730-1</v>
      </c>
      <c r="B259" s="538">
        <v>51730</v>
      </c>
      <c r="C259" s="538" t="s">
        <v>44</v>
      </c>
      <c r="D259" s="538">
        <v>1</v>
      </c>
      <c r="E259" s="541" t="s">
        <v>341</v>
      </c>
    </row>
    <row r="262" spans="1:7">
      <c r="A262" s="546"/>
      <c r="B262" s="536" t="s">
        <v>543</v>
      </c>
      <c r="C262" s="16"/>
      <c r="D262" s="16"/>
      <c r="E262" s="16"/>
      <c r="F262" s="16"/>
      <c r="G262" s="546"/>
    </row>
    <row r="263" spans="1:7">
      <c r="A263" s="551"/>
      <c r="B263" s="16"/>
      <c r="C263" s="16"/>
      <c r="D263" s="552"/>
      <c r="E263" s="17"/>
      <c r="F263" s="17"/>
      <c r="G263" s="553"/>
    </row>
    <row r="264" spans="1:7">
      <c r="A264" s="733" t="s">
        <v>342</v>
      </c>
      <c r="B264" s="733" t="s">
        <v>41</v>
      </c>
      <c r="C264" s="733"/>
      <c r="D264" s="733"/>
      <c r="E264" s="733" t="s">
        <v>330</v>
      </c>
      <c r="F264" s="554"/>
      <c r="G264" s="554"/>
    </row>
    <row r="265" spans="1:7">
      <c r="A265" s="733"/>
      <c r="B265" s="733"/>
      <c r="C265" s="733"/>
      <c r="D265" s="733"/>
      <c r="E265" s="733"/>
      <c r="F265" s="554"/>
      <c r="G265" s="554"/>
    </row>
    <row r="266" spans="1:7">
      <c r="A266" s="17"/>
      <c r="B266" s="16"/>
      <c r="C266" s="16"/>
      <c r="D266" s="16"/>
      <c r="E266" s="17"/>
      <c r="F266" s="17"/>
      <c r="G266" s="17"/>
    </row>
    <row r="267" spans="1:7">
      <c r="A267" s="538" t="str">
        <f>CONCATENATE("INDEC-MO - ",B267,C267,D267)</f>
        <v>INDEC-MO - 51720-1</v>
      </c>
      <c r="B267" s="538">
        <v>51720</v>
      </c>
      <c r="C267" s="538" t="s">
        <v>44</v>
      </c>
      <c r="D267" s="538">
        <v>1</v>
      </c>
      <c r="E267" s="15" t="s">
        <v>544</v>
      </c>
      <c r="F267" s="17"/>
      <c r="G267" s="17"/>
    </row>
    <row r="268" spans="1:7">
      <c r="A268" s="17"/>
      <c r="B268" s="16"/>
      <c r="C268" s="16"/>
      <c r="D268" s="16"/>
      <c r="E268" s="17"/>
      <c r="F268" s="17"/>
      <c r="G268" s="17"/>
    </row>
    <row r="271" spans="1:7">
      <c r="A271" s="535"/>
      <c r="B271" s="536" t="s">
        <v>343</v>
      </c>
      <c r="C271" s="536"/>
      <c r="D271" s="536"/>
    </row>
    <row r="273" spans="1:6">
      <c r="A273" s="733" t="s">
        <v>342</v>
      </c>
      <c r="B273" s="733" t="s">
        <v>41</v>
      </c>
      <c r="C273" s="733"/>
      <c r="D273" s="733"/>
      <c r="E273" s="733" t="s">
        <v>344</v>
      </c>
    </row>
    <row r="274" spans="1:6">
      <c r="A274" s="733"/>
      <c r="B274" s="733" t="s">
        <v>43</v>
      </c>
      <c r="C274" s="733"/>
      <c r="D274" s="733"/>
      <c r="E274" s="733"/>
    </row>
    <row r="275" spans="1:6">
      <c r="E275" s="540"/>
    </row>
    <row r="276" spans="1:6">
      <c r="A276" s="538" t="str">
        <f t="shared" ref="A276:A283" si="5">CONCATENATE("INDEC-EC - ",B276,C276,D276)</f>
        <v>INDEC-EC - 43520-11</v>
      </c>
      <c r="B276" s="538">
        <v>43520</v>
      </c>
      <c r="C276" s="538" t="s">
        <v>44</v>
      </c>
      <c r="D276" s="538">
        <v>11</v>
      </c>
      <c r="E276" s="541" t="s">
        <v>345</v>
      </c>
    </row>
    <row r="277" spans="1:6">
      <c r="A277" s="538" t="str">
        <f t="shared" si="5"/>
        <v>INDEC-EC - 44440-2</v>
      </c>
      <c r="B277" s="538">
        <v>44440</v>
      </c>
      <c r="C277" s="538" t="s">
        <v>44</v>
      </c>
      <c r="D277" s="538">
        <v>2</v>
      </c>
      <c r="E277" s="541" t="s">
        <v>346</v>
      </c>
    </row>
    <row r="278" spans="1:6">
      <c r="A278" s="538" t="str">
        <f t="shared" si="5"/>
        <v>INDEC-EC - 44221-11</v>
      </c>
      <c r="B278" s="538">
        <v>44221</v>
      </c>
      <c r="C278" s="538" t="s">
        <v>44</v>
      </c>
      <c r="D278" s="538">
        <v>11</v>
      </c>
      <c r="E278" s="541" t="s">
        <v>347</v>
      </c>
    </row>
    <row r="279" spans="1:6">
      <c r="A279" s="538" t="str">
        <f t="shared" si="5"/>
        <v>INDEC-EC - 44221-12</v>
      </c>
      <c r="B279" s="538">
        <v>44221</v>
      </c>
      <c r="C279" s="538" t="s">
        <v>44</v>
      </c>
      <c r="D279" s="538">
        <v>12</v>
      </c>
      <c r="E279" s="541" t="s">
        <v>348</v>
      </c>
    </row>
    <row r="280" spans="1:6">
      <c r="A280" s="538" t="str">
        <f t="shared" si="5"/>
        <v>INDEC-EC - 43520-21</v>
      </c>
      <c r="B280" s="538">
        <v>43520</v>
      </c>
      <c r="C280" s="538" t="s">
        <v>44</v>
      </c>
      <c r="D280" s="538">
        <v>21</v>
      </c>
      <c r="E280" s="541" t="s">
        <v>349</v>
      </c>
    </row>
    <row r="281" spans="1:6">
      <c r="A281" s="538" t="str">
        <f t="shared" si="5"/>
        <v>INDEC-EC - 44231-21</v>
      </c>
      <c r="B281" s="538">
        <v>44231</v>
      </c>
      <c r="C281" s="538" t="s">
        <v>44</v>
      </c>
      <c r="D281" s="538">
        <v>21</v>
      </c>
      <c r="E281" s="541" t="s">
        <v>350</v>
      </c>
    </row>
    <row r="282" spans="1:6">
      <c r="A282" s="543" t="str">
        <f t="shared" si="5"/>
        <v>INDEC-EC - 44440-11</v>
      </c>
      <c r="B282" s="543">
        <v>44440</v>
      </c>
      <c r="C282" s="543" t="s">
        <v>44</v>
      </c>
      <c r="D282" s="543">
        <v>11</v>
      </c>
      <c r="E282" s="550" t="s">
        <v>351</v>
      </c>
      <c r="F282" s="537" t="s">
        <v>2038</v>
      </c>
    </row>
    <row r="283" spans="1:6">
      <c r="A283" s="538" t="str">
        <f t="shared" si="5"/>
        <v>INDEC-EC - 44231-11</v>
      </c>
      <c r="B283" s="538">
        <v>44231</v>
      </c>
      <c r="C283" s="538" t="s">
        <v>44</v>
      </c>
      <c r="D283" s="538">
        <v>11</v>
      </c>
      <c r="E283" s="541" t="s">
        <v>352</v>
      </c>
    </row>
    <row r="286" spans="1:6">
      <c r="A286" s="535"/>
      <c r="B286" s="536" t="s">
        <v>353</v>
      </c>
      <c r="C286" s="536"/>
      <c r="D286" s="536"/>
    </row>
    <row r="288" spans="1:6">
      <c r="A288" s="733" t="s">
        <v>342</v>
      </c>
      <c r="B288" s="733" t="s">
        <v>41</v>
      </c>
      <c r="C288" s="733"/>
      <c r="D288" s="733"/>
      <c r="E288" s="733" t="s">
        <v>354</v>
      </c>
    </row>
    <row r="289" spans="1:7">
      <c r="A289" s="733"/>
      <c r="B289" s="733" t="s">
        <v>43</v>
      </c>
      <c r="C289" s="733"/>
      <c r="D289" s="733"/>
      <c r="E289" s="733"/>
    </row>
    <row r="290" spans="1:7">
      <c r="E290" s="540"/>
    </row>
    <row r="291" spans="1:7">
      <c r="A291" s="538" t="str">
        <f t="shared" ref="A291:A298" si="6">CONCATENATE("INDEC-SA - ",B291,C291,D291)</f>
        <v>INDEC-SA - 83107-1</v>
      </c>
      <c r="B291" s="538">
        <v>83107</v>
      </c>
      <c r="C291" s="538" t="s">
        <v>44</v>
      </c>
      <c r="D291" s="538">
        <v>1</v>
      </c>
      <c r="E291" s="537" t="s">
        <v>355</v>
      </c>
    </row>
    <row r="292" spans="1:7">
      <c r="A292" s="538" t="str">
        <f t="shared" si="6"/>
        <v>INDEC-SA - 71240-21</v>
      </c>
      <c r="B292" s="538">
        <v>71240</v>
      </c>
      <c r="C292" s="538" t="s">
        <v>44</v>
      </c>
      <c r="D292" s="538">
        <v>21</v>
      </c>
      <c r="E292" s="537" t="s">
        <v>356</v>
      </c>
    </row>
    <row r="293" spans="1:7">
      <c r="A293" s="538" t="str">
        <f t="shared" si="6"/>
        <v>INDEC-SA - 71240-31</v>
      </c>
      <c r="B293" s="538">
        <v>71240</v>
      </c>
      <c r="C293" s="538" t="s">
        <v>44</v>
      </c>
      <c r="D293" s="538">
        <v>31</v>
      </c>
      <c r="E293" s="537" t="s">
        <v>357</v>
      </c>
    </row>
    <row r="294" spans="1:7">
      <c r="A294" s="538" t="str">
        <f t="shared" si="6"/>
        <v>INDEC-SA - 71240-11</v>
      </c>
      <c r="B294" s="538">
        <v>71240</v>
      </c>
      <c r="C294" s="538" t="s">
        <v>44</v>
      </c>
      <c r="D294" s="538">
        <v>11</v>
      </c>
      <c r="E294" s="537" t="s">
        <v>358</v>
      </c>
    </row>
    <row r="295" spans="1:7">
      <c r="A295" s="538" t="str">
        <f t="shared" si="6"/>
        <v>INDEC-SA - 74110-11</v>
      </c>
      <c r="B295" s="538">
        <v>74110</v>
      </c>
      <c r="C295" s="538" t="s">
        <v>44</v>
      </c>
      <c r="D295" s="538">
        <v>11</v>
      </c>
      <c r="E295" s="537" t="s">
        <v>359</v>
      </c>
    </row>
    <row r="296" spans="1:7">
      <c r="A296" s="538" t="str">
        <f t="shared" si="6"/>
        <v>INDEC-SA - 71233-11</v>
      </c>
      <c r="B296" s="538">
        <v>71233</v>
      </c>
      <c r="C296" s="538" t="s">
        <v>44</v>
      </c>
      <c r="D296" s="538">
        <v>11</v>
      </c>
      <c r="E296" s="537" t="s">
        <v>360</v>
      </c>
    </row>
    <row r="297" spans="1:7">
      <c r="A297" s="538" t="str">
        <f t="shared" si="6"/>
        <v>INDEC-SA - 51800-11</v>
      </c>
      <c r="B297" s="538">
        <v>51800</v>
      </c>
      <c r="C297" s="538" t="s">
        <v>44</v>
      </c>
      <c r="D297" s="538">
        <v>11</v>
      </c>
      <c r="E297" s="555" t="s">
        <v>361</v>
      </c>
    </row>
    <row r="298" spans="1:7">
      <c r="A298" s="538" t="str">
        <f t="shared" si="6"/>
        <v>INDEC-SA - 51800-21</v>
      </c>
      <c r="B298" s="538">
        <v>51800</v>
      </c>
      <c r="C298" s="538" t="s">
        <v>44</v>
      </c>
      <c r="D298" s="538">
        <v>21</v>
      </c>
      <c r="E298" s="537" t="s">
        <v>362</v>
      </c>
    </row>
    <row r="301" spans="1:7">
      <c r="A301" s="556"/>
      <c r="B301" s="536" t="s">
        <v>502</v>
      </c>
      <c r="C301" s="557"/>
      <c r="D301" s="557"/>
      <c r="E301" s="556"/>
      <c r="F301" s="556"/>
      <c r="G301" s="556"/>
    </row>
    <row r="303" spans="1:7">
      <c r="A303" s="733" t="s">
        <v>342</v>
      </c>
      <c r="B303" s="733" t="s">
        <v>41</v>
      </c>
      <c r="C303" s="733"/>
      <c r="D303" s="733"/>
      <c r="E303" s="733" t="s">
        <v>42</v>
      </c>
    </row>
    <row r="304" spans="1:7">
      <c r="A304" s="733"/>
      <c r="B304" s="733" t="s">
        <v>43</v>
      </c>
      <c r="C304" s="733"/>
      <c r="D304" s="733"/>
      <c r="E304" s="733"/>
    </row>
    <row r="305" spans="1:6">
      <c r="A305" s="540"/>
      <c r="B305" s="540"/>
      <c r="C305" s="540"/>
      <c r="D305" s="540"/>
      <c r="E305" s="540"/>
    </row>
    <row r="306" spans="1:6">
      <c r="A306" s="538" t="str">
        <f t="shared" ref="A306:A369" si="7">CONCATENATE("INDEC-PB - ",B306,C306,D306)</f>
        <v>INDEC-PB - 42120-1</v>
      </c>
      <c r="B306" s="538">
        <v>42120</v>
      </c>
      <c r="C306" s="538" t="s">
        <v>44</v>
      </c>
      <c r="D306" s="538">
        <v>1</v>
      </c>
      <c r="E306" s="558" t="s">
        <v>363</v>
      </c>
    </row>
    <row r="307" spans="1:6">
      <c r="A307" s="538" t="str">
        <f t="shared" si="7"/>
        <v>INDEC-PB - 42120-2</v>
      </c>
      <c r="B307" s="538">
        <v>42120</v>
      </c>
      <c r="C307" s="538" t="s">
        <v>44</v>
      </c>
      <c r="D307" s="538">
        <v>2</v>
      </c>
      <c r="E307" s="558" t="s">
        <v>364</v>
      </c>
    </row>
    <row r="308" spans="1:6">
      <c r="A308" s="538" t="str">
        <f t="shared" si="7"/>
        <v>INDEC-PB - 37910-1</v>
      </c>
      <c r="B308" s="538">
        <v>37910</v>
      </c>
      <c r="C308" s="538" t="s">
        <v>44</v>
      </c>
      <c r="D308" s="538">
        <v>1</v>
      </c>
      <c r="E308" s="558" t="s">
        <v>365</v>
      </c>
    </row>
    <row r="309" spans="1:6">
      <c r="A309" s="538" t="str">
        <f t="shared" si="7"/>
        <v>INDEC-PB - 42921-4</v>
      </c>
      <c r="B309" s="538">
        <v>42921</v>
      </c>
      <c r="C309" s="538" t="s">
        <v>44</v>
      </c>
      <c r="D309" s="538">
        <v>4</v>
      </c>
      <c r="E309" s="558" t="s">
        <v>366</v>
      </c>
    </row>
    <row r="310" spans="1:6">
      <c r="A310" s="538" t="str">
        <f t="shared" si="7"/>
        <v>INDEC-PB - 44251-1</v>
      </c>
      <c r="B310" s="538">
        <v>44251</v>
      </c>
      <c r="C310" s="538" t="s">
        <v>44</v>
      </c>
      <c r="D310" s="538">
        <v>1</v>
      </c>
      <c r="E310" s="558" t="s">
        <v>367</v>
      </c>
    </row>
    <row r="311" spans="1:6">
      <c r="A311" s="538" t="str">
        <f t="shared" si="7"/>
        <v>INDEC-PB - 42922-1</v>
      </c>
      <c r="B311" s="538">
        <v>42922</v>
      </c>
      <c r="C311" s="538" t="s">
        <v>44</v>
      </c>
      <c r="D311" s="538">
        <v>1</v>
      </c>
      <c r="E311" s="558" t="s">
        <v>368</v>
      </c>
    </row>
    <row r="312" spans="1:6">
      <c r="A312" s="538" t="str">
        <f t="shared" si="7"/>
        <v>INDEC-PB - 33380-1</v>
      </c>
      <c r="B312" s="538">
        <v>33380</v>
      </c>
      <c r="C312" s="538" t="s">
        <v>44</v>
      </c>
      <c r="D312" s="538">
        <v>1</v>
      </c>
      <c r="E312" s="558" t="s">
        <v>369</v>
      </c>
    </row>
    <row r="313" spans="1:6">
      <c r="A313" s="538" t="str">
        <f t="shared" si="7"/>
        <v>INDEC-PB - 49229-1</v>
      </c>
      <c r="B313" s="538">
        <v>49229</v>
      </c>
      <c r="C313" s="538" t="s">
        <v>44</v>
      </c>
      <c r="D313" s="538">
        <v>1</v>
      </c>
      <c r="E313" s="558" t="s">
        <v>370</v>
      </c>
    </row>
    <row r="314" spans="1:6">
      <c r="A314" s="538" t="str">
        <f t="shared" si="7"/>
        <v>INDEC-PB - 46420-1</v>
      </c>
      <c r="B314" s="538">
        <v>46420</v>
      </c>
      <c r="C314" s="538" t="s">
        <v>44</v>
      </c>
      <c r="D314" s="538">
        <v>1</v>
      </c>
      <c r="E314" s="558" t="s">
        <v>371</v>
      </c>
    </row>
    <row r="315" spans="1:6">
      <c r="A315" s="538" t="str">
        <f t="shared" si="7"/>
        <v>INDEC-PB - 41263-1</v>
      </c>
      <c r="B315" s="538">
        <v>41263</v>
      </c>
      <c r="C315" s="538" t="s">
        <v>44</v>
      </c>
      <c r="D315" s="538">
        <v>1</v>
      </c>
      <c r="E315" s="558" t="s">
        <v>372</v>
      </c>
    </row>
    <row r="316" spans="1:6">
      <c r="A316" s="543" t="str">
        <f t="shared" si="7"/>
        <v>INDEC-PB - 41241-1</v>
      </c>
      <c r="B316" s="543">
        <v>41241</v>
      </c>
      <c r="C316" s="543" t="s">
        <v>44</v>
      </c>
      <c r="D316" s="543">
        <v>1</v>
      </c>
      <c r="E316" s="559" t="s">
        <v>373</v>
      </c>
      <c r="F316" s="537" t="s">
        <v>2038</v>
      </c>
    </row>
    <row r="317" spans="1:6">
      <c r="A317" s="538" t="str">
        <f t="shared" si="7"/>
        <v>INDEC-PB - 44216-1</v>
      </c>
      <c r="B317" s="538">
        <v>44216</v>
      </c>
      <c r="C317" s="538" t="s">
        <v>44</v>
      </c>
      <c r="D317" s="538">
        <v>1</v>
      </c>
      <c r="E317" s="558" t="s">
        <v>374</v>
      </c>
    </row>
    <row r="318" spans="1:6">
      <c r="A318" s="538" t="str">
        <f t="shared" si="7"/>
        <v>INDEC-PB - 15400-1</v>
      </c>
      <c r="B318" s="538">
        <v>15400</v>
      </c>
      <c r="C318" s="538" t="s">
        <v>44</v>
      </c>
      <c r="D318" s="538">
        <v>1</v>
      </c>
      <c r="E318" s="558" t="s">
        <v>375</v>
      </c>
    </row>
    <row r="319" spans="1:6">
      <c r="A319" s="538" t="str">
        <f t="shared" si="7"/>
        <v>INDEC-PB - 15310-1</v>
      </c>
      <c r="B319" s="538">
        <v>15310</v>
      </c>
      <c r="C319" s="538" t="s">
        <v>44</v>
      </c>
      <c r="D319" s="538">
        <v>1</v>
      </c>
      <c r="E319" s="558" t="s">
        <v>376</v>
      </c>
    </row>
    <row r="320" spans="1:6">
      <c r="A320" s="543" t="str">
        <f t="shared" si="7"/>
        <v>INDEC-PB - 37210-1</v>
      </c>
      <c r="B320" s="543">
        <v>37210</v>
      </c>
      <c r="C320" s="543" t="s">
        <v>44</v>
      </c>
      <c r="D320" s="543">
        <v>1</v>
      </c>
      <c r="E320" s="559" t="s">
        <v>377</v>
      </c>
      <c r="F320" s="537" t="s">
        <v>2038</v>
      </c>
    </row>
    <row r="321" spans="1:6">
      <c r="A321" s="543" t="str">
        <f t="shared" si="7"/>
        <v>INDEC-PB - 37540-2</v>
      </c>
      <c r="B321" s="543">
        <v>37540</v>
      </c>
      <c r="C321" s="543" t="s">
        <v>44</v>
      </c>
      <c r="D321" s="543">
        <v>2</v>
      </c>
      <c r="E321" s="559" t="s">
        <v>378</v>
      </c>
      <c r="F321" s="537" t="s">
        <v>2038</v>
      </c>
    </row>
    <row r="322" spans="1:6">
      <c r="A322" s="538" t="str">
        <f t="shared" si="7"/>
        <v>INDEC-PB - 49113-1</v>
      </c>
      <c r="B322" s="538">
        <v>49113</v>
      </c>
      <c r="C322" s="538" t="s">
        <v>44</v>
      </c>
      <c r="D322" s="538">
        <v>1</v>
      </c>
      <c r="E322" s="558" t="s">
        <v>379</v>
      </c>
    </row>
    <row r="323" spans="1:6">
      <c r="A323" s="538" t="str">
        <f t="shared" si="7"/>
        <v>INDEC-PB - 36270-1</v>
      </c>
      <c r="B323" s="538">
        <v>36270</v>
      </c>
      <c r="C323" s="538" t="s">
        <v>44</v>
      </c>
      <c r="D323" s="538">
        <v>1</v>
      </c>
      <c r="E323" s="558" t="s">
        <v>380</v>
      </c>
    </row>
    <row r="324" spans="1:6">
      <c r="A324" s="538" t="str">
        <f t="shared" si="7"/>
        <v>INDEC-PB - 46539-1</v>
      </c>
      <c r="B324" s="538">
        <v>46539</v>
      </c>
      <c r="C324" s="538" t="s">
        <v>44</v>
      </c>
      <c r="D324" s="538">
        <v>1</v>
      </c>
      <c r="E324" s="558" t="s">
        <v>381</v>
      </c>
    </row>
    <row r="325" spans="1:6">
      <c r="A325" s="538" t="str">
        <f t="shared" si="7"/>
        <v>INDEC-PB - 37370-1</v>
      </c>
      <c r="B325" s="538">
        <v>37370</v>
      </c>
      <c r="C325" s="538" t="s">
        <v>44</v>
      </c>
      <c r="D325" s="538">
        <v>1</v>
      </c>
      <c r="E325" s="558" t="s">
        <v>382</v>
      </c>
    </row>
    <row r="326" spans="1:6">
      <c r="A326" s="538" t="str">
        <f t="shared" si="7"/>
        <v>INDEC-PB - 35110-4</v>
      </c>
      <c r="B326" s="538">
        <v>35110</v>
      </c>
      <c r="C326" s="538" t="s">
        <v>44</v>
      </c>
      <c r="D326" s="538">
        <v>4</v>
      </c>
      <c r="E326" s="558" t="s">
        <v>383</v>
      </c>
    </row>
    <row r="327" spans="1:6">
      <c r="A327" s="538" t="str">
        <f t="shared" si="7"/>
        <v>INDEC-PB - 41261-1</v>
      </c>
      <c r="B327" s="538">
        <v>41261</v>
      </c>
      <c r="C327" s="538" t="s">
        <v>44</v>
      </c>
      <c r="D327" s="538">
        <v>1</v>
      </c>
      <c r="E327" s="558" t="s">
        <v>384</v>
      </c>
    </row>
    <row r="328" spans="1:6">
      <c r="A328" s="538" t="str">
        <f t="shared" si="7"/>
        <v>INDEC-PB - 36490-6</v>
      </c>
      <c r="B328" s="538">
        <v>36490</v>
      </c>
      <c r="C328" s="538" t="s">
        <v>44</v>
      </c>
      <c r="D328" s="538">
        <v>6</v>
      </c>
      <c r="E328" s="558" t="s">
        <v>385</v>
      </c>
    </row>
    <row r="329" spans="1:6">
      <c r="A329" s="538" t="str">
        <f t="shared" si="7"/>
        <v>INDEC-PB - 42944-1</v>
      </c>
      <c r="B329" s="538">
        <v>42944</v>
      </c>
      <c r="C329" s="538" t="s">
        <v>44</v>
      </c>
      <c r="D329" s="538">
        <v>1</v>
      </c>
      <c r="E329" s="558" t="s">
        <v>386</v>
      </c>
    </row>
    <row r="330" spans="1:6">
      <c r="A330" s="538" t="str">
        <f t="shared" si="7"/>
        <v>INDEC-PB - 42320-1</v>
      </c>
      <c r="B330" s="538">
        <v>42320</v>
      </c>
      <c r="C330" s="538" t="s">
        <v>44</v>
      </c>
      <c r="D330" s="538">
        <v>1</v>
      </c>
      <c r="E330" s="558" t="s">
        <v>387</v>
      </c>
    </row>
    <row r="331" spans="1:6">
      <c r="A331" s="538" t="str">
        <f t="shared" si="7"/>
        <v>INDEC-PB - 37420-1</v>
      </c>
      <c r="B331" s="538">
        <v>37420</v>
      </c>
      <c r="C331" s="538" t="s">
        <v>44</v>
      </c>
      <c r="D331" s="538">
        <v>1</v>
      </c>
      <c r="E331" s="558" t="s">
        <v>388</v>
      </c>
    </row>
    <row r="332" spans="1:6">
      <c r="A332" s="543" t="str">
        <f t="shared" si="7"/>
        <v>INDEC-PB - 49115-2</v>
      </c>
      <c r="B332" s="543">
        <v>49115</v>
      </c>
      <c r="C332" s="543" t="s">
        <v>44</v>
      </c>
      <c r="D332" s="543">
        <v>2</v>
      </c>
      <c r="E332" s="559" t="s">
        <v>389</v>
      </c>
      <c r="F332" s="537" t="s">
        <v>2038</v>
      </c>
    </row>
    <row r="333" spans="1:6">
      <c r="A333" s="543" t="str">
        <f t="shared" si="7"/>
        <v>INDEC-PB - 36320-3</v>
      </c>
      <c r="B333" s="543">
        <v>36320</v>
      </c>
      <c r="C333" s="543" t="s">
        <v>44</v>
      </c>
      <c r="D333" s="543">
        <v>3</v>
      </c>
      <c r="E333" s="559" t="s">
        <v>390</v>
      </c>
      <c r="F333" s="537" t="s">
        <v>2038</v>
      </c>
    </row>
    <row r="334" spans="1:6">
      <c r="A334" s="543" t="str">
        <f t="shared" si="7"/>
        <v>INDEC-PB - 36320-2</v>
      </c>
      <c r="B334" s="543">
        <v>36320</v>
      </c>
      <c r="C334" s="543" t="s">
        <v>44</v>
      </c>
      <c r="D334" s="543">
        <v>2</v>
      </c>
      <c r="E334" s="559" t="s">
        <v>391</v>
      </c>
      <c r="F334" s="537" t="s">
        <v>2038</v>
      </c>
    </row>
    <row r="335" spans="1:6">
      <c r="A335" s="538" t="str">
        <f t="shared" si="7"/>
        <v>INDEC-PB - 36320-1</v>
      </c>
      <c r="B335" s="538">
        <v>36320</v>
      </c>
      <c r="C335" s="538" t="s">
        <v>44</v>
      </c>
      <c r="D335" s="538">
        <v>1</v>
      </c>
      <c r="E335" s="558" t="s">
        <v>392</v>
      </c>
    </row>
    <row r="336" spans="1:6">
      <c r="A336" s="538" t="str">
        <f t="shared" si="7"/>
        <v>INDEC-PB - 46220-1</v>
      </c>
      <c r="B336" s="538">
        <v>46220</v>
      </c>
      <c r="C336" s="538" t="s">
        <v>44</v>
      </c>
      <c r="D336" s="538">
        <v>1</v>
      </c>
      <c r="E336" s="558" t="s">
        <v>393</v>
      </c>
    </row>
    <row r="337" spans="1:6">
      <c r="A337" s="543" t="str">
        <f t="shared" si="7"/>
        <v>INDEC-PB - 34800-1</v>
      </c>
      <c r="B337" s="543">
        <v>34800</v>
      </c>
      <c r="C337" s="543" t="s">
        <v>44</v>
      </c>
      <c r="D337" s="543">
        <v>1</v>
      </c>
      <c r="E337" s="559" t="s">
        <v>394</v>
      </c>
      <c r="F337" s="537" t="s">
        <v>2038</v>
      </c>
    </row>
    <row r="338" spans="1:6">
      <c r="A338" s="538" t="str">
        <f t="shared" si="7"/>
        <v>INDEC-PB - 37440-1</v>
      </c>
      <c r="B338" s="538">
        <v>37440</v>
      </c>
      <c r="C338" s="538" t="s">
        <v>44</v>
      </c>
      <c r="D338" s="538">
        <v>1</v>
      </c>
      <c r="E338" s="558" t="s">
        <v>395</v>
      </c>
    </row>
    <row r="339" spans="1:6">
      <c r="A339" s="538" t="str">
        <f t="shared" si="7"/>
        <v>INDEC-PB - 42992-1</v>
      </c>
      <c r="B339" s="538">
        <v>42992</v>
      </c>
      <c r="C339" s="538" t="s">
        <v>44</v>
      </c>
      <c r="D339" s="538">
        <v>1</v>
      </c>
      <c r="E339" s="558" t="s">
        <v>396</v>
      </c>
    </row>
    <row r="340" spans="1:6">
      <c r="A340" s="538" t="str">
        <f t="shared" si="7"/>
        <v>INDEC-PB - 42999-2</v>
      </c>
      <c r="B340" s="538">
        <v>42999</v>
      </c>
      <c r="C340" s="538" t="s">
        <v>44</v>
      </c>
      <c r="D340" s="538">
        <v>2</v>
      </c>
      <c r="E340" s="558" t="s">
        <v>397</v>
      </c>
    </row>
    <row r="341" spans="1:6">
      <c r="A341" s="538" t="str">
        <f t="shared" si="7"/>
        <v>INDEC-PB - 42944-2</v>
      </c>
      <c r="B341" s="538">
        <v>42944</v>
      </c>
      <c r="C341" s="538" t="s">
        <v>44</v>
      </c>
      <c r="D341" s="538">
        <v>2</v>
      </c>
      <c r="E341" s="558" t="s">
        <v>398</v>
      </c>
    </row>
    <row r="342" spans="1:6">
      <c r="A342" s="538" t="str">
        <f t="shared" si="7"/>
        <v>INDEC-PB - 43230-1</v>
      </c>
      <c r="B342" s="538">
        <v>43230</v>
      </c>
      <c r="C342" s="538" t="s">
        <v>44</v>
      </c>
      <c r="D342" s="538">
        <v>1</v>
      </c>
      <c r="E342" s="558" t="s">
        <v>399</v>
      </c>
    </row>
    <row r="343" spans="1:6">
      <c r="A343" s="538" t="str">
        <f t="shared" si="7"/>
        <v>INDEC-PB - 46340-1</v>
      </c>
      <c r="B343" s="538">
        <v>46340</v>
      </c>
      <c r="C343" s="538" t="s">
        <v>44</v>
      </c>
      <c r="D343" s="538">
        <v>1</v>
      </c>
      <c r="E343" s="558" t="s">
        <v>400</v>
      </c>
    </row>
    <row r="344" spans="1:6">
      <c r="A344" s="543" t="str">
        <f t="shared" si="7"/>
        <v>INDEC-PB - 36270-2</v>
      </c>
      <c r="B344" s="543">
        <v>36270</v>
      </c>
      <c r="C344" s="543" t="s">
        <v>44</v>
      </c>
      <c r="D344" s="543">
        <v>2</v>
      </c>
      <c r="E344" s="559" t="s">
        <v>401</v>
      </c>
      <c r="F344" s="537" t="s">
        <v>2038</v>
      </c>
    </row>
    <row r="345" spans="1:6">
      <c r="A345" s="538" t="str">
        <f t="shared" si="7"/>
        <v>INDEC-PB - 42190-2</v>
      </c>
      <c r="B345" s="538">
        <v>42190</v>
      </c>
      <c r="C345" s="538" t="s">
        <v>44</v>
      </c>
      <c r="D345" s="538">
        <v>2</v>
      </c>
      <c r="E345" s="558" t="s">
        <v>402</v>
      </c>
    </row>
    <row r="346" spans="1:6">
      <c r="A346" s="538" t="str">
        <f t="shared" si="7"/>
        <v>INDEC-PB - 36990-2</v>
      </c>
      <c r="B346" s="538">
        <v>36990</v>
      </c>
      <c r="C346" s="538" t="s">
        <v>44</v>
      </c>
      <c r="D346" s="538">
        <v>2</v>
      </c>
      <c r="E346" s="558" t="s">
        <v>403</v>
      </c>
    </row>
    <row r="347" spans="1:6">
      <c r="A347" s="543" t="str">
        <f t="shared" si="7"/>
        <v>INDEC-PB - 31600-1</v>
      </c>
      <c r="B347" s="543">
        <v>31600</v>
      </c>
      <c r="C347" s="543" t="s">
        <v>44</v>
      </c>
      <c r="D347" s="543">
        <v>1</v>
      </c>
      <c r="E347" s="559" t="s">
        <v>404</v>
      </c>
      <c r="F347" s="537" t="s">
        <v>2038</v>
      </c>
    </row>
    <row r="348" spans="1:6">
      <c r="A348" s="538" t="str">
        <f t="shared" si="7"/>
        <v>INDEC-PB - 32600-1</v>
      </c>
      <c r="B348" s="538">
        <v>32600</v>
      </c>
      <c r="C348" s="538" t="s">
        <v>44</v>
      </c>
      <c r="D348" s="538">
        <v>1</v>
      </c>
      <c r="E348" s="558" t="s">
        <v>405</v>
      </c>
    </row>
    <row r="349" spans="1:6">
      <c r="A349" s="538" t="str">
        <f t="shared" si="7"/>
        <v>INDEC-PB - 36111-3</v>
      </c>
      <c r="B349" s="538">
        <v>36111</v>
      </c>
      <c r="C349" s="538" t="s">
        <v>44</v>
      </c>
      <c r="D349" s="538">
        <v>3</v>
      </c>
      <c r="E349" s="558" t="s">
        <v>406</v>
      </c>
    </row>
    <row r="350" spans="1:6">
      <c r="A350" s="538" t="str">
        <f t="shared" si="7"/>
        <v>INDEC-PB - 36111-2</v>
      </c>
      <c r="B350" s="538">
        <v>36111</v>
      </c>
      <c r="C350" s="538" t="s">
        <v>44</v>
      </c>
      <c r="D350" s="538">
        <v>2</v>
      </c>
      <c r="E350" s="558" t="s">
        <v>407</v>
      </c>
    </row>
    <row r="351" spans="1:6">
      <c r="A351" s="543" t="str">
        <f t="shared" si="7"/>
        <v>INDEC-PB - 36111-1</v>
      </c>
      <c r="B351" s="543">
        <v>36111</v>
      </c>
      <c r="C351" s="543" t="s">
        <v>44</v>
      </c>
      <c r="D351" s="543">
        <v>1</v>
      </c>
      <c r="E351" s="559" t="s">
        <v>408</v>
      </c>
      <c r="F351" s="537" t="s">
        <v>2038</v>
      </c>
    </row>
    <row r="352" spans="1:6">
      <c r="A352" s="538" t="str">
        <f t="shared" si="7"/>
        <v>INDEC-PB - 42921-1</v>
      </c>
      <c r="B352" s="538">
        <v>42921</v>
      </c>
      <c r="C352" s="538" t="s">
        <v>44</v>
      </c>
      <c r="D352" s="538">
        <v>1</v>
      </c>
      <c r="E352" s="558" t="s">
        <v>409</v>
      </c>
    </row>
    <row r="353" spans="1:6">
      <c r="A353" s="543" t="str">
        <f t="shared" si="7"/>
        <v>INDEC-PB - 34800-2</v>
      </c>
      <c r="B353" s="543">
        <v>34800</v>
      </c>
      <c r="C353" s="543" t="s">
        <v>44</v>
      </c>
      <c r="D353" s="543">
        <v>2</v>
      </c>
      <c r="E353" s="559" t="s">
        <v>410</v>
      </c>
      <c r="F353" s="537" t="s">
        <v>2038</v>
      </c>
    </row>
    <row r="354" spans="1:6">
      <c r="A354" s="538" t="str">
        <f t="shared" si="7"/>
        <v>INDEC-PB - 49129-1</v>
      </c>
      <c r="B354" s="538">
        <v>49129</v>
      </c>
      <c r="C354" s="538" t="s">
        <v>44</v>
      </c>
      <c r="D354" s="538">
        <v>1</v>
      </c>
      <c r="E354" s="558" t="s">
        <v>411</v>
      </c>
    </row>
    <row r="355" spans="1:6">
      <c r="A355" s="538" t="str">
        <f t="shared" si="7"/>
        <v>INDEC-PB - 43220-1</v>
      </c>
      <c r="B355" s="538">
        <v>43220</v>
      </c>
      <c r="C355" s="538" t="s">
        <v>44</v>
      </c>
      <c r="D355" s="538">
        <v>1</v>
      </c>
      <c r="E355" s="558" t="s">
        <v>412</v>
      </c>
    </row>
    <row r="356" spans="1:6">
      <c r="A356" s="538" t="str">
        <f t="shared" si="7"/>
        <v>INDEC-PB - 35110-1</v>
      </c>
      <c r="B356" s="538">
        <v>35110</v>
      </c>
      <c r="C356" s="538" t="s">
        <v>44</v>
      </c>
      <c r="D356" s="538">
        <v>1</v>
      </c>
      <c r="E356" s="558" t="s">
        <v>413</v>
      </c>
    </row>
    <row r="357" spans="1:6">
      <c r="A357" s="538" t="str">
        <f t="shared" si="7"/>
        <v>INDEC-PB - 17100-1</v>
      </c>
      <c r="B357" s="538">
        <v>17100</v>
      </c>
      <c r="C357" s="538" t="s">
        <v>44</v>
      </c>
      <c r="D357" s="538">
        <v>1</v>
      </c>
      <c r="E357" s="558" t="s">
        <v>414</v>
      </c>
    </row>
    <row r="358" spans="1:6">
      <c r="A358" s="538" t="str">
        <f t="shared" si="7"/>
        <v>INDEC-PB - 49129-3</v>
      </c>
      <c r="B358" s="538">
        <v>49129</v>
      </c>
      <c r="C358" s="538" t="s">
        <v>44</v>
      </c>
      <c r="D358" s="538">
        <v>3</v>
      </c>
      <c r="E358" s="558" t="s">
        <v>415</v>
      </c>
    </row>
    <row r="359" spans="1:6">
      <c r="A359" s="538" t="str">
        <f t="shared" si="7"/>
        <v>INDEC-PB - 35110-2</v>
      </c>
      <c r="B359" s="538">
        <v>35110</v>
      </c>
      <c r="C359" s="538" t="s">
        <v>44</v>
      </c>
      <c r="D359" s="538">
        <v>2</v>
      </c>
      <c r="E359" s="558" t="s">
        <v>416</v>
      </c>
    </row>
    <row r="360" spans="1:6">
      <c r="A360" s="538" t="str">
        <f t="shared" si="7"/>
        <v>INDEC-PB - 37129-1</v>
      </c>
      <c r="B360" s="538">
        <v>37129</v>
      </c>
      <c r="C360" s="538" t="s">
        <v>44</v>
      </c>
      <c r="D360" s="538">
        <v>1</v>
      </c>
      <c r="E360" s="558" t="s">
        <v>417</v>
      </c>
    </row>
    <row r="361" spans="1:6">
      <c r="A361" s="538" t="str">
        <f t="shared" si="7"/>
        <v>INDEC-PB - 36490-4</v>
      </c>
      <c r="B361" s="538">
        <v>36490</v>
      </c>
      <c r="C361" s="538" t="s">
        <v>44</v>
      </c>
      <c r="D361" s="538">
        <v>4</v>
      </c>
      <c r="E361" s="558" t="s">
        <v>418</v>
      </c>
    </row>
    <row r="362" spans="1:6">
      <c r="A362" s="538" t="str">
        <f t="shared" si="7"/>
        <v>INDEC-PB - 33370-1</v>
      </c>
      <c r="B362" s="538">
        <v>33370</v>
      </c>
      <c r="C362" s="538" t="s">
        <v>44</v>
      </c>
      <c r="D362" s="538">
        <v>1</v>
      </c>
      <c r="E362" s="558" t="s">
        <v>419</v>
      </c>
    </row>
    <row r="363" spans="1:6">
      <c r="A363" s="538" t="str">
        <f t="shared" si="7"/>
        <v>INDEC-PB - 12020-1</v>
      </c>
      <c r="B363" s="538">
        <v>12020</v>
      </c>
      <c r="C363" s="538" t="s">
        <v>44</v>
      </c>
      <c r="D363" s="538">
        <v>1</v>
      </c>
      <c r="E363" s="558" t="s">
        <v>420</v>
      </c>
    </row>
    <row r="364" spans="1:6">
      <c r="A364" s="538" t="str">
        <f t="shared" si="7"/>
        <v>INDEC-PB - 33360-1</v>
      </c>
      <c r="B364" s="538">
        <v>33360</v>
      </c>
      <c r="C364" s="538" t="s">
        <v>44</v>
      </c>
      <c r="D364" s="538">
        <v>1</v>
      </c>
      <c r="E364" s="558" t="s">
        <v>421</v>
      </c>
    </row>
    <row r="365" spans="1:6">
      <c r="A365" s="538" t="str">
        <f t="shared" si="7"/>
        <v>INDEC-PB - 33410-1</v>
      </c>
      <c r="B365" s="538">
        <v>33410</v>
      </c>
      <c r="C365" s="538" t="s">
        <v>44</v>
      </c>
      <c r="D365" s="538">
        <v>1</v>
      </c>
      <c r="E365" s="558" t="s">
        <v>422</v>
      </c>
    </row>
    <row r="366" spans="1:6">
      <c r="A366" s="538" t="str">
        <f t="shared" si="7"/>
        <v>INDEC-PB - 42911-1</v>
      </c>
      <c r="B366" s="538">
        <v>42911</v>
      </c>
      <c r="C366" s="538" t="s">
        <v>44</v>
      </c>
      <c r="D366" s="538">
        <v>1</v>
      </c>
      <c r="E366" s="558" t="s">
        <v>423</v>
      </c>
    </row>
    <row r="367" spans="1:6">
      <c r="A367" s="538" t="str">
        <f t="shared" si="7"/>
        <v>INDEC-PB - 46113-1</v>
      </c>
      <c r="B367" s="538">
        <v>46113</v>
      </c>
      <c r="C367" s="538" t="s">
        <v>44</v>
      </c>
      <c r="D367" s="538">
        <v>1</v>
      </c>
      <c r="E367" s="558" t="s">
        <v>424</v>
      </c>
    </row>
    <row r="368" spans="1:6">
      <c r="A368" s="538" t="str">
        <f t="shared" si="7"/>
        <v>INDEC-PB - 42921-2</v>
      </c>
      <c r="B368" s="538">
        <v>42921</v>
      </c>
      <c r="C368" s="538" t="s">
        <v>44</v>
      </c>
      <c r="D368" s="538">
        <v>2</v>
      </c>
      <c r="E368" s="558" t="s">
        <v>425</v>
      </c>
    </row>
    <row r="369" spans="1:6">
      <c r="A369" s="538" t="str">
        <f t="shared" si="7"/>
        <v>INDEC-PB - 37990-1</v>
      </c>
      <c r="B369" s="538">
        <v>37990</v>
      </c>
      <c r="C369" s="538" t="s">
        <v>44</v>
      </c>
      <c r="D369" s="538">
        <v>1</v>
      </c>
      <c r="E369" s="558" t="s">
        <v>426</v>
      </c>
    </row>
    <row r="370" spans="1:6">
      <c r="A370" s="538" t="str">
        <f t="shared" ref="A370:A425" si="8">CONCATENATE("INDEC-PB - ",B370,C370,D370)</f>
        <v>INDEC-PB - 41242-1</v>
      </c>
      <c r="B370" s="538">
        <v>41242</v>
      </c>
      <c r="C370" s="538" t="s">
        <v>44</v>
      </c>
      <c r="D370" s="538">
        <v>1</v>
      </c>
      <c r="E370" s="558" t="s">
        <v>427</v>
      </c>
    </row>
    <row r="371" spans="1:6">
      <c r="A371" s="538" t="str">
        <f t="shared" si="8"/>
        <v>INDEC-PB - 37510-1</v>
      </c>
      <c r="B371" s="538">
        <v>37510</v>
      </c>
      <c r="C371" s="538" t="s">
        <v>44</v>
      </c>
      <c r="D371" s="538">
        <v>1</v>
      </c>
      <c r="E371" s="558" t="s">
        <v>428</v>
      </c>
    </row>
    <row r="372" spans="1:6">
      <c r="A372" s="538" t="str">
        <f t="shared" si="8"/>
        <v>INDEC-PB - 44440-1</v>
      </c>
      <c r="B372" s="538">
        <v>44440</v>
      </c>
      <c r="C372" s="538" t="s">
        <v>44</v>
      </c>
      <c r="D372" s="538">
        <v>1</v>
      </c>
      <c r="E372" s="558" t="s">
        <v>429</v>
      </c>
    </row>
    <row r="373" spans="1:6">
      <c r="A373" s="538" t="str">
        <f t="shared" si="8"/>
        <v>INDEC-PB - 35110-5</v>
      </c>
      <c r="B373" s="538">
        <v>35110</v>
      </c>
      <c r="C373" s="538" t="s">
        <v>44</v>
      </c>
      <c r="D373" s="538">
        <v>5</v>
      </c>
      <c r="E373" s="558" t="s">
        <v>430</v>
      </c>
    </row>
    <row r="374" spans="1:6">
      <c r="A374" s="538" t="str">
        <f t="shared" si="8"/>
        <v>INDEC-PB - 46212-1</v>
      </c>
      <c r="B374" s="538">
        <v>46212</v>
      </c>
      <c r="C374" s="538" t="s">
        <v>44</v>
      </c>
      <c r="D374" s="538">
        <v>1</v>
      </c>
      <c r="E374" s="558" t="s">
        <v>431</v>
      </c>
    </row>
    <row r="375" spans="1:6">
      <c r="A375" s="543" t="str">
        <f t="shared" si="8"/>
        <v>INDEC-PB - 33340-1</v>
      </c>
      <c r="B375" s="543">
        <v>33340</v>
      </c>
      <c r="C375" s="543" t="s">
        <v>44</v>
      </c>
      <c r="D375" s="543">
        <v>1</v>
      </c>
      <c r="E375" s="559" t="s">
        <v>432</v>
      </c>
      <c r="F375" s="537" t="s">
        <v>2038</v>
      </c>
    </row>
    <row r="376" spans="1:6">
      <c r="A376" s="538" t="str">
        <f t="shared" si="8"/>
        <v>INDEC-PB - 37350-1</v>
      </c>
      <c r="B376" s="538">
        <v>37350</v>
      </c>
      <c r="C376" s="538" t="s">
        <v>44</v>
      </c>
      <c r="D376" s="538">
        <v>1</v>
      </c>
      <c r="E376" s="558" t="s">
        <v>433</v>
      </c>
    </row>
    <row r="377" spans="1:6">
      <c r="A377" s="538" t="str">
        <f t="shared" si="8"/>
        <v>INDEC-PB - 37320-1</v>
      </c>
      <c r="B377" s="538">
        <v>37320</v>
      </c>
      <c r="C377" s="538" t="s">
        <v>44</v>
      </c>
      <c r="D377" s="538">
        <v>1</v>
      </c>
      <c r="E377" s="558" t="s">
        <v>434</v>
      </c>
    </row>
    <row r="378" spans="1:6">
      <c r="A378" s="538" t="str">
        <f t="shared" si="8"/>
        <v>INDEC-PB - 41532-11</v>
      </c>
      <c r="B378" s="538">
        <v>41532</v>
      </c>
      <c r="C378" s="538" t="s">
        <v>44</v>
      </c>
      <c r="D378" s="538">
        <v>11</v>
      </c>
      <c r="E378" s="558" t="s">
        <v>435</v>
      </c>
    </row>
    <row r="379" spans="1:6">
      <c r="A379" s="538" t="str">
        <f t="shared" si="8"/>
        <v>INDEC-PB - 41532-1</v>
      </c>
      <c r="B379" s="538">
        <v>41532</v>
      </c>
      <c r="C379" s="538" t="s">
        <v>44</v>
      </c>
      <c r="D379" s="538">
        <v>1</v>
      </c>
      <c r="E379" s="558" t="s">
        <v>436</v>
      </c>
    </row>
    <row r="380" spans="1:6">
      <c r="A380" s="538" t="str">
        <f t="shared" si="8"/>
        <v>INDEC-PB - 31430-1</v>
      </c>
      <c r="B380" s="538">
        <v>31430</v>
      </c>
      <c r="C380" s="538" t="s">
        <v>44</v>
      </c>
      <c r="D380" s="538">
        <v>1</v>
      </c>
      <c r="E380" s="558" t="s">
        <v>437</v>
      </c>
    </row>
    <row r="381" spans="1:6">
      <c r="A381" s="538" t="str">
        <f t="shared" si="8"/>
        <v>INDEC-PB - 31100-1</v>
      </c>
      <c r="B381" s="538">
        <v>31100</v>
      </c>
      <c r="C381" s="538" t="s">
        <v>44</v>
      </c>
      <c r="D381" s="538">
        <v>1</v>
      </c>
      <c r="E381" s="558" t="s">
        <v>438</v>
      </c>
    </row>
    <row r="382" spans="1:6">
      <c r="A382" s="538" t="str">
        <f t="shared" si="8"/>
        <v>INDEC-PB - 31420-1</v>
      </c>
      <c r="B382" s="538">
        <v>31420</v>
      </c>
      <c r="C382" s="538" t="s">
        <v>44</v>
      </c>
      <c r="D382" s="538">
        <v>1</v>
      </c>
      <c r="E382" s="558" t="s">
        <v>439</v>
      </c>
    </row>
    <row r="383" spans="1:6">
      <c r="A383" s="538" t="str">
        <f t="shared" si="8"/>
        <v>INDEC-PB - 31420-2</v>
      </c>
      <c r="B383" s="538">
        <v>31420</v>
      </c>
      <c r="C383" s="538" t="s">
        <v>44</v>
      </c>
      <c r="D383" s="538">
        <v>2</v>
      </c>
      <c r="E383" s="558" t="s">
        <v>440</v>
      </c>
    </row>
    <row r="384" spans="1:6">
      <c r="A384" s="543" t="str">
        <f t="shared" si="8"/>
        <v>INDEC-PB - 44222-1</v>
      </c>
      <c r="B384" s="543">
        <v>44222</v>
      </c>
      <c r="C384" s="543" t="s">
        <v>44</v>
      </c>
      <c r="D384" s="543">
        <v>1</v>
      </c>
      <c r="E384" s="559" t="s">
        <v>441</v>
      </c>
      <c r="F384" s="537" t="s">
        <v>2038</v>
      </c>
    </row>
    <row r="385" spans="1:6">
      <c r="A385" s="543" t="str">
        <f t="shared" si="8"/>
        <v>INDEC-PB - 44427-1</v>
      </c>
      <c r="B385" s="543">
        <v>44427</v>
      </c>
      <c r="C385" s="543" t="s">
        <v>44</v>
      </c>
      <c r="D385" s="543">
        <v>1</v>
      </c>
      <c r="E385" s="559" t="s">
        <v>442</v>
      </c>
      <c r="F385" s="537" t="s">
        <v>2038</v>
      </c>
    </row>
    <row r="386" spans="1:6">
      <c r="A386" s="538" t="str">
        <f t="shared" si="8"/>
        <v>INDEC-PB - 44430-1</v>
      </c>
      <c r="B386" s="538">
        <v>44430</v>
      </c>
      <c r="C386" s="538" t="s">
        <v>44</v>
      </c>
      <c r="D386" s="538">
        <v>1</v>
      </c>
      <c r="E386" s="558" t="s">
        <v>443</v>
      </c>
    </row>
    <row r="387" spans="1:6">
      <c r="A387" s="538" t="str">
        <f t="shared" si="8"/>
        <v>INDEC-PB - 37930-1</v>
      </c>
      <c r="B387" s="538">
        <v>37930</v>
      </c>
      <c r="C387" s="538" t="s">
        <v>44</v>
      </c>
      <c r="D387" s="538">
        <v>1</v>
      </c>
      <c r="E387" s="558" t="s">
        <v>444</v>
      </c>
    </row>
    <row r="388" spans="1:6">
      <c r="A388" s="538" t="str">
        <f t="shared" si="8"/>
        <v>INDEC-PB - 37330-1</v>
      </c>
      <c r="B388" s="538">
        <v>37330</v>
      </c>
      <c r="C388" s="538" t="s">
        <v>44</v>
      </c>
      <c r="D388" s="538">
        <v>1</v>
      </c>
      <c r="E388" s="558" t="s">
        <v>445</v>
      </c>
    </row>
    <row r="389" spans="1:6">
      <c r="A389" s="538" t="str">
        <f t="shared" si="8"/>
        <v>INDEC-PB - 37540-1</v>
      </c>
      <c r="B389" s="538">
        <v>37540</v>
      </c>
      <c r="C389" s="538" t="s">
        <v>44</v>
      </c>
      <c r="D389" s="538">
        <v>1</v>
      </c>
      <c r="E389" s="558" t="s">
        <v>446</v>
      </c>
    </row>
    <row r="390" spans="1:6">
      <c r="A390" s="538" t="str">
        <f t="shared" si="8"/>
        <v>INDEC-PB - 43121-1</v>
      </c>
      <c r="B390" s="538">
        <v>43121</v>
      </c>
      <c r="C390" s="538" t="s">
        <v>44</v>
      </c>
      <c r="D390" s="538">
        <v>1</v>
      </c>
      <c r="E390" s="558" t="s">
        <v>447</v>
      </c>
    </row>
    <row r="391" spans="1:6">
      <c r="A391" s="538" t="str">
        <f t="shared" si="8"/>
        <v>INDEC-PB - 46112-1</v>
      </c>
      <c r="B391" s="538">
        <v>46112</v>
      </c>
      <c r="C391" s="538" t="s">
        <v>44</v>
      </c>
      <c r="D391" s="538">
        <v>1</v>
      </c>
      <c r="E391" s="558" t="s">
        <v>448</v>
      </c>
    </row>
    <row r="392" spans="1:6">
      <c r="A392" s="543" t="str">
        <f t="shared" si="8"/>
        <v>INDEC-PB - 43122-1</v>
      </c>
      <c r="B392" s="543">
        <v>43122</v>
      </c>
      <c r="C392" s="543" t="s">
        <v>44</v>
      </c>
      <c r="D392" s="543">
        <v>1</v>
      </c>
      <c r="E392" s="559" t="s">
        <v>449</v>
      </c>
      <c r="F392" s="537" t="s">
        <v>2038</v>
      </c>
    </row>
    <row r="393" spans="1:6">
      <c r="A393" s="538" t="str">
        <f t="shared" si="8"/>
        <v>INDEC-PB - 49911-1</v>
      </c>
      <c r="B393" s="538">
        <v>49911</v>
      </c>
      <c r="C393" s="538" t="s">
        <v>44</v>
      </c>
      <c r="D393" s="538">
        <v>1</v>
      </c>
      <c r="E393" s="558" t="s">
        <v>450</v>
      </c>
    </row>
    <row r="394" spans="1:6">
      <c r="A394" s="538" t="str">
        <f t="shared" si="8"/>
        <v>INDEC-PB - 33310-1</v>
      </c>
      <c r="B394" s="538">
        <v>33310</v>
      </c>
      <c r="C394" s="538" t="s">
        <v>44</v>
      </c>
      <c r="D394" s="538">
        <v>1</v>
      </c>
      <c r="E394" s="558" t="s">
        <v>451</v>
      </c>
    </row>
    <row r="395" spans="1:6">
      <c r="A395" s="538" t="str">
        <f t="shared" si="8"/>
        <v>INDEC-PB - 32129-1</v>
      </c>
      <c r="B395" s="538">
        <v>32129</v>
      </c>
      <c r="C395" s="538" t="s">
        <v>44</v>
      </c>
      <c r="D395" s="538">
        <v>1</v>
      </c>
      <c r="E395" s="558" t="s">
        <v>452</v>
      </c>
    </row>
    <row r="396" spans="1:6">
      <c r="A396" s="538" t="str">
        <f t="shared" si="8"/>
        <v>INDEC-PB - 37990-2</v>
      </c>
      <c r="B396" s="538">
        <v>37990</v>
      </c>
      <c r="C396" s="538" t="s">
        <v>44</v>
      </c>
      <c r="D396" s="538">
        <v>2</v>
      </c>
      <c r="E396" s="558" t="s">
        <v>453</v>
      </c>
    </row>
    <row r="397" spans="1:6">
      <c r="A397" s="538" t="str">
        <f t="shared" si="8"/>
        <v>INDEC-PB - 41251-1</v>
      </c>
      <c r="B397" s="538">
        <v>41251</v>
      </c>
      <c r="C397" s="538" t="s">
        <v>44</v>
      </c>
      <c r="D397" s="538">
        <v>1</v>
      </c>
      <c r="E397" s="558" t="s">
        <v>454</v>
      </c>
    </row>
    <row r="398" spans="1:6">
      <c r="A398" s="538" t="str">
        <f t="shared" si="8"/>
        <v>INDEC-PB - 12010-1</v>
      </c>
      <c r="B398" s="538">
        <v>12010</v>
      </c>
      <c r="C398" s="538" t="s">
        <v>44</v>
      </c>
      <c r="D398" s="538">
        <v>1</v>
      </c>
      <c r="E398" s="558" t="s">
        <v>455</v>
      </c>
    </row>
    <row r="399" spans="1:6">
      <c r="A399" s="538" t="str">
        <f t="shared" si="8"/>
        <v>INDEC-PB - 15320-1</v>
      </c>
      <c r="B399" s="538">
        <v>15320</v>
      </c>
      <c r="C399" s="538" t="s">
        <v>44</v>
      </c>
      <c r="D399" s="538">
        <v>1</v>
      </c>
      <c r="E399" s="558" t="s">
        <v>456</v>
      </c>
    </row>
    <row r="400" spans="1:6">
      <c r="A400" s="538" t="str">
        <f t="shared" si="8"/>
        <v>INDEC-PB - 41116-1</v>
      </c>
      <c r="B400" s="538">
        <v>41116</v>
      </c>
      <c r="C400" s="538" t="s">
        <v>44</v>
      </c>
      <c r="D400" s="538">
        <v>1</v>
      </c>
      <c r="E400" s="558" t="s">
        <v>457</v>
      </c>
    </row>
    <row r="401" spans="1:6">
      <c r="A401" s="538" t="str">
        <f t="shared" si="8"/>
        <v>INDEC-PB - 42999-1</v>
      </c>
      <c r="B401" s="538">
        <v>42999</v>
      </c>
      <c r="C401" s="538" t="s">
        <v>44</v>
      </c>
      <c r="D401" s="538">
        <v>1</v>
      </c>
      <c r="E401" s="558" t="s">
        <v>458</v>
      </c>
    </row>
    <row r="402" spans="1:6">
      <c r="A402" s="538" t="str">
        <f t="shared" si="8"/>
        <v>INDEC-PB - 35110-3</v>
      </c>
      <c r="B402" s="538">
        <v>35110</v>
      </c>
      <c r="C402" s="538" t="s">
        <v>44</v>
      </c>
      <c r="D402" s="538">
        <v>3</v>
      </c>
      <c r="E402" s="558" t="s">
        <v>459</v>
      </c>
    </row>
    <row r="403" spans="1:6">
      <c r="A403" s="538" t="str">
        <f t="shared" si="8"/>
        <v>INDEC-PB - 34740-6</v>
      </c>
      <c r="B403" s="538">
        <v>34740</v>
      </c>
      <c r="C403" s="538" t="s">
        <v>44</v>
      </c>
      <c r="D403" s="538">
        <v>6</v>
      </c>
      <c r="E403" s="558" t="s">
        <v>460</v>
      </c>
    </row>
    <row r="404" spans="1:6">
      <c r="A404" s="538" t="str">
        <f t="shared" si="8"/>
        <v>INDEC-PB - 34730-1</v>
      </c>
      <c r="B404" s="538">
        <v>34730</v>
      </c>
      <c r="C404" s="538" t="s">
        <v>44</v>
      </c>
      <c r="D404" s="538">
        <v>1</v>
      </c>
      <c r="E404" s="558" t="s">
        <v>461</v>
      </c>
    </row>
    <row r="405" spans="1:6">
      <c r="A405" s="543" t="str">
        <f t="shared" si="8"/>
        <v>INDEC-PB - 34720-1</v>
      </c>
      <c r="B405" s="543">
        <v>34720</v>
      </c>
      <c r="C405" s="543" t="s">
        <v>44</v>
      </c>
      <c r="D405" s="543">
        <v>1</v>
      </c>
      <c r="E405" s="559" t="s">
        <v>462</v>
      </c>
      <c r="F405" s="537" t="s">
        <v>2038</v>
      </c>
    </row>
    <row r="406" spans="1:6">
      <c r="A406" s="538" t="str">
        <f t="shared" si="8"/>
        <v>INDEC-PB - 34710-1</v>
      </c>
      <c r="B406" s="538">
        <v>34710</v>
      </c>
      <c r="C406" s="538" t="s">
        <v>44</v>
      </c>
      <c r="D406" s="538">
        <v>1</v>
      </c>
      <c r="E406" s="558" t="s">
        <v>463</v>
      </c>
    </row>
    <row r="407" spans="1:6">
      <c r="A407" s="538" t="str">
        <f t="shared" si="8"/>
        <v>INDEC-PB - 41530-1</v>
      </c>
      <c r="B407" s="538">
        <v>41530</v>
      </c>
      <c r="C407" s="538" t="s">
        <v>44</v>
      </c>
      <c r="D407" s="538">
        <v>1</v>
      </c>
      <c r="E407" s="558" t="s">
        <v>464</v>
      </c>
    </row>
    <row r="408" spans="1:6">
      <c r="A408" s="538" t="str">
        <f t="shared" si="8"/>
        <v>INDEC-PB - 41510-1</v>
      </c>
      <c r="B408" s="538">
        <v>41510</v>
      </c>
      <c r="C408" s="538" t="s">
        <v>44</v>
      </c>
      <c r="D408" s="538">
        <v>1</v>
      </c>
      <c r="E408" s="558" t="s">
        <v>465</v>
      </c>
    </row>
    <row r="409" spans="1:6">
      <c r="A409" s="538" t="str">
        <f t="shared" si="8"/>
        <v>INDEC-PB - 31600-2</v>
      </c>
      <c r="B409" s="538">
        <v>31600</v>
      </c>
      <c r="C409" s="538" t="s">
        <v>44</v>
      </c>
      <c r="D409" s="538">
        <v>2</v>
      </c>
      <c r="E409" s="558" t="s">
        <v>466</v>
      </c>
    </row>
    <row r="410" spans="1:6">
      <c r="A410" s="538" t="str">
        <f t="shared" si="8"/>
        <v>INDEC-PB - 49129-2</v>
      </c>
      <c r="B410" s="538">
        <v>49129</v>
      </c>
      <c r="C410" s="538" t="s">
        <v>44</v>
      </c>
      <c r="D410" s="538">
        <v>2</v>
      </c>
      <c r="E410" s="558" t="s">
        <v>467</v>
      </c>
    </row>
    <row r="411" spans="1:6">
      <c r="A411" s="538" t="str">
        <f t="shared" si="8"/>
        <v>INDEC-PB - 34740-1</v>
      </c>
      <c r="B411" s="538">
        <v>34740</v>
      </c>
      <c r="C411" s="538" t="s">
        <v>44</v>
      </c>
      <c r="D411" s="538">
        <v>1</v>
      </c>
      <c r="E411" s="558" t="s">
        <v>468</v>
      </c>
    </row>
    <row r="412" spans="1:6">
      <c r="A412" s="543" t="str">
        <f t="shared" si="8"/>
        <v>INDEC-PB - 43310-1</v>
      </c>
      <c r="B412" s="543">
        <v>43310</v>
      </c>
      <c r="C412" s="543" t="s">
        <v>44</v>
      </c>
      <c r="D412" s="543">
        <v>1</v>
      </c>
      <c r="E412" s="559" t="s">
        <v>469</v>
      </c>
      <c r="F412" s="537" t="s">
        <v>2038</v>
      </c>
    </row>
    <row r="413" spans="1:6">
      <c r="A413" s="538" t="str">
        <f t="shared" si="8"/>
        <v>INDEC-PB - 44240-1</v>
      </c>
      <c r="B413" s="538">
        <v>44240</v>
      </c>
      <c r="C413" s="538" t="s">
        <v>44</v>
      </c>
      <c r="D413" s="538">
        <v>1</v>
      </c>
      <c r="E413" s="558" t="s">
        <v>470</v>
      </c>
    </row>
    <row r="414" spans="1:6">
      <c r="A414" s="538" t="str">
        <f t="shared" si="8"/>
        <v>INDEC-PB - 33500-1</v>
      </c>
      <c r="B414" s="538">
        <v>33500</v>
      </c>
      <c r="C414" s="538" t="s">
        <v>44</v>
      </c>
      <c r="D414" s="538">
        <v>1</v>
      </c>
      <c r="E414" s="558" t="s">
        <v>471</v>
      </c>
    </row>
    <row r="415" spans="1:6">
      <c r="A415" s="538" t="str">
        <f t="shared" si="8"/>
        <v>INDEC-PB - 44214-1</v>
      </c>
      <c r="B415" s="538">
        <v>44214</v>
      </c>
      <c r="C415" s="538" t="s">
        <v>44</v>
      </c>
      <c r="D415" s="538">
        <v>1</v>
      </c>
      <c r="E415" s="558" t="s">
        <v>472</v>
      </c>
    </row>
    <row r="416" spans="1:6">
      <c r="A416" s="538" t="str">
        <f t="shared" si="8"/>
        <v>INDEC-PB - 37350-2</v>
      </c>
      <c r="B416" s="538">
        <v>37350</v>
      </c>
      <c r="C416" s="538" t="s">
        <v>44</v>
      </c>
      <c r="D416" s="538">
        <v>2</v>
      </c>
      <c r="E416" s="558" t="s">
        <v>473</v>
      </c>
    </row>
    <row r="417" spans="1:6">
      <c r="A417" s="538" t="str">
        <f t="shared" si="8"/>
        <v>INDEC-PB - 42943-1</v>
      </c>
      <c r="B417" s="538">
        <v>42943</v>
      </c>
      <c r="C417" s="538" t="s">
        <v>44</v>
      </c>
      <c r="D417" s="538">
        <v>1</v>
      </c>
      <c r="E417" s="558" t="s">
        <v>474</v>
      </c>
    </row>
    <row r="418" spans="1:6">
      <c r="A418" s="538" t="str">
        <f t="shared" si="8"/>
        <v>INDEC-PB - 36990-1</v>
      </c>
      <c r="B418" s="538">
        <v>36990</v>
      </c>
      <c r="C418" s="538" t="s">
        <v>44</v>
      </c>
      <c r="D418" s="538">
        <v>1</v>
      </c>
      <c r="E418" s="558" t="s">
        <v>475</v>
      </c>
    </row>
    <row r="419" spans="1:6">
      <c r="A419" s="538" t="str">
        <f t="shared" si="8"/>
        <v>INDEC-PB - 46121-1</v>
      </c>
      <c r="B419" s="538">
        <v>46121</v>
      </c>
      <c r="C419" s="538" t="s">
        <v>44</v>
      </c>
      <c r="D419" s="538">
        <v>1</v>
      </c>
      <c r="E419" s="558" t="s">
        <v>476</v>
      </c>
    </row>
    <row r="420" spans="1:6">
      <c r="A420" s="538" t="str">
        <f t="shared" si="8"/>
        <v>INDEC-PB - 49115-1</v>
      </c>
      <c r="B420" s="538">
        <v>49115</v>
      </c>
      <c r="C420" s="538" t="s">
        <v>44</v>
      </c>
      <c r="D420" s="538">
        <v>1</v>
      </c>
      <c r="E420" s="558" t="s">
        <v>477</v>
      </c>
    </row>
    <row r="421" spans="1:6">
      <c r="A421" s="543" t="str">
        <f t="shared" si="8"/>
        <v>INDEC-PB - 37113-1</v>
      </c>
      <c r="B421" s="543">
        <v>37113</v>
      </c>
      <c r="C421" s="543" t="s">
        <v>44</v>
      </c>
      <c r="D421" s="543">
        <v>1</v>
      </c>
      <c r="E421" s="559" t="s">
        <v>478</v>
      </c>
      <c r="F421" s="537" t="s">
        <v>2038</v>
      </c>
    </row>
    <row r="422" spans="1:6">
      <c r="A422" s="543" t="str">
        <f t="shared" si="8"/>
        <v>INDEC-PB - 37199-3</v>
      </c>
      <c r="B422" s="543">
        <v>37199</v>
      </c>
      <c r="C422" s="543" t="s">
        <v>44</v>
      </c>
      <c r="D422" s="543">
        <v>3</v>
      </c>
      <c r="E422" s="559" t="s">
        <v>479</v>
      </c>
      <c r="F422" s="537" t="s">
        <v>2038</v>
      </c>
    </row>
    <row r="423" spans="1:6">
      <c r="A423" s="543" t="str">
        <f t="shared" si="8"/>
        <v>INDEC-PB - 37199-1</v>
      </c>
      <c r="B423" s="543">
        <v>37199</v>
      </c>
      <c r="C423" s="543" t="s">
        <v>44</v>
      </c>
      <c r="D423" s="543">
        <v>1</v>
      </c>
      <c r="E423" s="559" t="s">
        <v>480</v>
      </c>
      <c r="F423" s="537" t="s">
        <v>2038</v>
      </c>
    </row>
    <row r="424" spans="1:6">
      <c r="A424" s="543" t="str">
        <f t="shared" si="8"/>
        <v>INDEC-PB - 37199-2</v>
      </c>
      <c r="B424" s="543">
        <v>37199</v>
      </c>
      <c r="C424" s="543" t="s">
        <v>44</v>
      </c>
      <c r="D424" s="543">
        <v>2</v>
      </c>
      <c r="E424" s="559" t="s">
        <v>481</v>
      </c>
      <c r="F424" s="537" t="s">
        <v>2038</v>
      </c>
    </row>
    <row r="425" spans="1:6">
      <c r="A425" s="538" t="str">
        <f t="shared" si="8"/>
        <v>INDEC-PB - 15200-1</v>
      </c>
      <c r="B425" s="538">
        <v>15200</v>
      </c>
      <c r="C425" s="538" t="s">
        <v>44</v>
      </c>
      <c r="D425" s="538">
        <v>1</v>
      </c>
      <c r="E425" s="558" t="s">
        <v>482</v>
      </c>
    </row>
    <row r="426" spans="1:6">
      <c r="A426" s="560"/>
      <c r="E426" s="561"/>
    </row>
    <row r="427" spans="1:6">
      <c r="A427" s="562"/>
      <c r="E427" s="561" t="s">
        <v>483</v>
      </c>
    </row>
    <row r="428" spans="1:6">
      <c r="A428" s="538" t="str">
        <f t="shared" ref="A428:A445" si="9">CONCATENATE("INDEC-PB - ",B428,C428,D428)</f>
        <v>INDEC-PB - 94920-1</v>
      </c>
      <c r="B428" s="538">
        <v>94920</v>
      </c>
      <c r="C428" s="538" t="s">
        <v>44</v>
      </c>
      <c r="D428" s="538">
        <v>1</v>
      </c>
      <c r="E428" s="558" t="s">
        <v>484</v>
      </c>
    </row>
    <row r="429" spans="1:6">
      <c r="A429" s="538" t="str">
        <f t="shared" si="9"/>
        <v>INDEC-PB - 91223-1</v>
      </c>
      <c r="B429" s="538">
        <v>91223</v>
      </c>
      <c r="C429" s="538" t="s">
        <v>44</v>
      </c>
      <c r="D429" s="538">
        <v>1</v>
      </c>
      <c r="E429" s="558" t="s">
        <v>485</v>
      </c>
    </row>
    <row r="430" spans="1:6">
      <c r="A430" s="538" t="str">
        <f t="shared" si="9"/>
        <v>INDEC-PB - 91211-11</v>
      </c>
      <c r="B430" s="538">
        <v>91211</v>
      </c>
      <c r="C430" s="538" t="s">
        <v>44</v>
      </c>
      <c r="D430" s="538">
        <v>11</v>
      </c>
      <c r="E430" s="558" t="s">
        <v>486</v>
      </c>
    </row>
    <row r="431" spans="1:6">
      <c r="A431" s="538" t="str">
        <f t="shared" si="9"/>
        <v>INDEC-PB - 91211-1</v>
      </c>
      <c r="B431" s="538">
        <v>91211</v>
      </c>
      <c r="C431" s="538" t="s">
        <v>44</v>
      </c>
      <c r="D431" s="538">
        <v>1</v>
      </c>
      <c r="E431" s="558" t="s">
        <v>487</v>
      </c>
    </row>
    <row r="432" spans="1:6">
      <c r="A432" s="543" t="str">
        <f t="shared" si="9"/>
        <v>INDEC-PB - 91511-1</v>
      </c>
      <c r="B432" s="543">
        <v>91511</v>
      </c>
      <c r="C432" s="543" t="s">
        <v>44</v>
      </c>
      <c r="D432" s="543">
        <v>1</v>
      </c>
      <c r="E432" s="559" t="s">
        <v>488</v>
      </c>
      <c r="F432" s="537" t="s">
        <v>2038</v>
      </c>
    </row>
    <row r="433" spans="1:6">
      <c r="A433" s="538" t="str">
        <f t="shared" si="9"/>
        <v>INDEC-PB - 91547-1</v>
      </c>
      <c r="B433" s="538">
        <v>91547</v>
      </c>
      <c r="C433" s="538" t="s">
        <v>44</v>
      </c>
      <c r="D433" s="538">
        <v>1</v>
      </c>
      <c r="E433" s="558" t="s">
        <v>489</v>
      </c>
    </row>
    <row r="434" spans="1:6">
      <c r="A434" s="538" t="str">
        <f t="shared" si="9"/>
        <v>INDEC-PB - 81100-1</v>
      </c>
      <c r="B434" s="538">
        <v>81100</v>
      </c>
      <c r="C434" s="538" t="s">
        <v>44</v>
      </c>
      <c r="D434" s="538">
        <v>1</v>
      </c>
      <c r="E434" s="558" t="s">
        <v>490</v>
      </c>
    </row>
    <row r="435" spans="1:6">
      <c r="A435" s="543" t="str">
        <f t="shared" si="9"/>
        <v>INDEC-PB - 91601-2</v>
      </c>
      <c r="B435" s="543">
        <v>91601</v>
      </c>
      <c r="C435" s="543" t="s">
        <v>44</v>
      </c>
      <c r="D435" s="543">
        <v>2</v>
      </c>
      <c r="E435" s="559" t="s">
        <v>491</v>
      </c>
      <c r="F435" s="537" t="s">
        <v>2038</v>
      </c>
    </row>
    <row r="436" spans="1:6">
      <c r="A436" s="538" t="str">
        <f t="shared" si="9"/>
        <v>INDEC-PB - 94214-1</v>
      </c>
      <c r="B436" s="538">
        <v>94214</v>
      </c>
      <c r="C436" s="538" t="s">
        <v>44</v>
      </c>
      <c r="D436" s="538">
        <v>1</v>
      </c>
      <c r="E436" s="558" t="s">
        <v>492</v>
      </c>
    </row>
    <row r="437" spans="1:6">
      <c r="A437" s="538" t="str">
        <f t="shared" si="9"/>
        <v>INDEC-PB - 94216-1</v>
      </c>
      <c r="B437" s="538">
        <v>94216</v>
      </c>
      <c r="C437" s="538" t="s">
        <v>44</v>
      </c>
      <c r="D437" s="538">
        <v>1</v>
      </c>
      <c r="E437" s="558" t="s">
        <v>493</v>
      </c>
    </row>
    <row r="438" spans="1:6">
      <c r="A438" s="543" t="str">
        <f t="shared" si="9"/>
        <v>INDEC-PB - 93310-2</v>
      </c>
      <c r="B438" s="543">
        <v>93310</v>
      </c>
      <c r="C438" s="543" t="s">
        <v>44</v>
      </c>
      <c r="D438" s="543">
        <v>2</v>
      </c>
      <c r="E438" s="559" t="s">
        <v>494</v>
      </c>
      <c r="F438" s="537" t="s">
        <v>2038</v>
      </c>
    </row>
    <row r="439" spans="1:6">
      <c r="A439" s="538" t="str">
        <f t="shared" si="9"/>
        <v>INDEC-PB - 82129-1</v>
      </c>
      <c r="B439" s="538">
        <v>82129</v>
      </c>
      <c r="C439" s="538" t="s">
        <v>44</v>
      </c>
      <c r="D439" s="538">
        <v>1</v>
      </c>
      <c r="E439" s="558" t="s">
        <v>495</v>
      </c>
    </row>
    <row r="440" spans="1:6">
      <c r="A440" s="543" t="str">
        <f t="shared" si="9"/>
        <v>INDEC-PB - 91251-1</v>
      </c>
      <c r="B440" s="543">
        <v>91251</v>
      </c>
      <c r="C440" s="543" t="s">
        <v>44</v>
      </c>
      <c r="D440" s="543">
        <v>1</v>
      </c>
      <c r="E440" s="559" t="s">
        <v>496</v>
      </c>
      <c r="F440" s="537" t="s">
        <v>2038</v>
      </c>
    </row>
    <row r="441" spans="1:6">
      <c r="A441" s="538" t="str">
        <f t="shared" si="9"/>
        <v>INDEC-PB - 93310-1</v>
      </c>
      <c r="B441" s="538">
        <v>93310</v>
      </c>
      <c r="C441" s="538" t="s">
        <v>44</v>
      </c>
      <c r="D441" s="538">
        <v>1</v>
      </c>
      <c r="E441" s="558" t="s">
        <v>497</v>
      </c>
    </row>
    <row r="442" spans="1:6">
      <c r="A442" s="543" t="str">
        <f t="shared" si="9"/>
        <v>INDEC-PB - 84710-1</v>
      </c>
      <c r="B442" s="543">
        <v>84710</v>
      </c>
      <c r="C442" s="543" t="s">
        <v>44</v>
      </c>
      <c r="D442" s="543">
        <v>1</v>
      </c>
      <c r="E442" s="559" t="s">
        <v>498</v>
      </c>
      <c r="F442" s="537" t="s">
        <v>2038</v>
      </c>
    </row>
    <row r="443" spans="1:6">
      <c r="A443" s="543" t="str">
        <f t="shared" si="9"/>
        <v>INDEC-PB - 84740-1</v>
      </c>
      <c r="B443" s="543">
        <v>84740</v>
      </c>
      <c r="C443" s="543" t="s">
        <v>44</v>
      </c>
      <c r="D443" s="543">
        <v>1</v>
      </c>
      <c r="E443" s="559" t="s">
        <v>499</v>
      </c>
      <c r="F443" s="537" t="s">
        <v>2038</v>
      </c>
    </row>
    <row r="444" spans="1:6">
      <c r="A444" s="543" t="str">
        <f t="shared" si="9"/>
        <v>INDEC-PB - 84230-1</v>
      </c>
      <c r="B444" s="543">
        <v>84230</v>
      </c>
      <c r="C444" s="543" t="s">
        <v>44</v>
      </c>
      <c r="D444" s="543">
        <v>1</v>
      </c>
      <c r="E444" s="559" t="s">
        <v>500</v>
      </c>
      <c r="F444" s="537" t="s">
        <v>2038</v>
      </c>
    </row>
    <row r="445" spans="1:6">
      <c r="A445" s="538" t="str">
        <f t="shared" si="9"/>
        <v>INDEC-PB - 85490-1</v>
      </c>
      <c r="B445" s="538">
        <v>85490</v>
      </c>
      <c r="C445" s="538" t="s">
        <v>44</v>
      </c>
      <c r="D445" s="538">
        <v>1</v>
      </c>
      <c r="E445" s="558" t="s">
        <v>501</v>
      </c>
    </row>
    <row r="448" spans="1:6">
      <c r="A448" s="558"/>
      <c r="B448" s="536" t="s">
        <v>503</v>
      </c>
      <c r="C448" s="18"/>
      <c r="D448" s="18"/>
    </row>
    <row r="449" spans="1:5">
      <c r="A449" s="558"/>
      <c r="B449" s="546"/>
      <c r="C449" s="18"/>
      <c r="D449" s="18"/>
    </row>
    <row r="450" spans="1:5">
      <c r="A450" s="733" t="s">
        <v>342</v>
      </c>
      <c r="B450" s="733" t="s">
        <v>504</v>
      </c>
      <c r="C450" s="733"/>
      <c r="D450" s="733"/>
      <c r="E450" s="733" t="s">
        <v>42</v>
      </c>
    </row>
    <row r="451" spans="1:5">
      <c r="A451" s="733"/>
      <c r="B451" s="733" t="s">
        <v>505</v>
      </c>
      <c r="C451" s="733"/>
      <c r="D451" s="733"/>
      <c r="E451" s="733"/>
    </row>
    <row r="452" spans="1:5">
      <c r="B452" s="16"/>
      <c r="C452" s="18"/>
      <c r="D452" s="18"/>
      <c r="E452" s="563"/>
    </row>
    <row r="453" spans="1:5">
      <c r="B453" s="16"/>
      <c r="C453" s="18"/>
      <c r="D453" s="18"/>
      <c r="E453" s="561" t="s">
        <v>506</v>
      </c>
    </row>
    <row r="454" spans="1:5">
      <c r="A454" s="538" t="str">
        <f t="shared" ref="A454:A474" si="10">CONCATENATE("INDEC-PB - ",B454,C454,D454)</f>
        <v>INDEC-PB - 2811-1</v>
      </c>
      <c r="B454" s="18">
        <v>2811</v>
      </c>
      <c r="C454" s="538" t="s">
        <v>44</v>
      </c>
      <c r="D454" s="538">
        <v>1</v>
      </c>
      <c r="E454" s="17" t="s">
        <v>507</v>
      </c>
    </row>
    <row r="455" spans="1:5">
      <c r="A455" s="538" t="str">
        <f t="shared" si="10"/>
        <v>INDEC-PB - 2710-1</v>
      </c>
      <c r="B455" s="18">
        <v>2710</v>
      </c>
      <c r="C455" s="538" t="s">
        <v>44</v>
      </c>
      <c r="D455" s="538">
        <v>1</v>
      </c>
      <c r="E455" s="17" t="s">
        <v>508</v>
      </c>
    </row>
    <row r="456" spans="1:5">
      <c r="A456" s="538" t="str">
        <f t="shared" si="10"/>
        <v>INDEC-PB - 2922-1</v>
      </c>
      <c r="B456" s="18">
        <v>2922</v>
      </c>
      <c r="C456" s="538" t="s">
        <v>44</v>
      </c>
      <c r="D456" s="538">
        <v>1</v>
      </c>
      <c r="E456" s="17" t="s">
        <v>509</v>
      </c>
    </row>
    <row r="457" spans="1:5">
      <c r="A457" s="538" t="str">
        <f t="shared" si="10"/>
        <v>INDEC-PB - 2691-</v>
      </c>
      <c r="B457" s="18">
        <v>2691</v>
      </c>
      <c r="C457" s="538" t="s">
        <v>44</v>
      </c>
      <c r="E457" s="17" t="s">
        <v>510</v>
      </c>
    </row>
    <row r="458" spans="1:5">
      <c r="A458" s="538" t="str">
        <f t="shared" si="10"/>
        <v>INDEC-PB - 2695-</v>
      </c>
      <c r="B458" s="18">
        <v>2695</v>
      </c>
      <c r="C458" s="538" t="s">
        <v>44</v>
      </c>
      <c r="E458" s="17" t="s">
        <v>511</v>
      </c>
    </row>
    <row r="459" spans="1:5">
      <c r="A459" s="538" t="str">
        <f t="shared" si="10"/>
        <v>INDEC-PB - 3410-2</v>
      </c>
      <c r="B459" s="18">
        <v>3410</v>
      </c>
      <c r="C459" s="538" t="s">
        <v>44</v>
      </c>
      <c r="D459" s="538">
        <v>2</v>
      </c>
      <c r="E459" s="17" t="s">
        <v>512</v>
      </c>
    </row>
    <row r="460" spans="1:5">
      <c r="A460" s="538" t="str">
        <f t="shared" si="10"/>
        <v>INDEC-PB - 2520-1</v>
      </c>
      <c r="B460" s="18">
        <v>2520</v>
      </c>
      <c r="C460" s="538" t="s">
        <v>44</v>
      </c>
      <c r="D460" s="538">
        <v>1</v>
      </c>
      <c r="E460" s="558" t="s">
        <v>513</v>
      </c>
    </row>
    <row r="461" spans="1:5">
      <c r="A461" s="538" t="str">
        <f t="shared" si="10"/>
        <v>INDEC-PB - 2413-3</v>
      </c>
      <c r="B461" s="18">
        <v>2413</v>
      </c>
      <c r="C461" s="538" t="s">
        <v>44</v>
      </c>
      <c r="D461" s="538">
        <v>3</v>
      </c>
      <c r="E461" s="558" t="s">
        <v>514</v>
      </c>
    </row>
    <row r="462" spans="1:5">
      <c r="A462" s="538" t="str">
        <f t="shared" si="10"/>
        <v>INDEC-PB - 2519-1</v>
      </c>
      <c r="B462" s="18">
        <v>2519</v>
      </c>
      <c r="C462" s="538" t="s">
        <v>44</v>
      </c>
      <c r="D462" s="538">
        <v>1</v>
      </c>
      <c r="E462" s="558" t="s">
        <v>515</v>
      </c>
    </row>
    <row r="463" spans="1:5">
      <c r="A463" s="538" t="str">
        <f t="shared" si="10"/>
        <v>INDEC-PB - 2520-3</v>
      </c>
      <c r="B463" s="18">
        <v>2520</v>
      </c>
      <c r="C463" s="538" t="s">
        <v>44</v>
      </c>
      <c r="D463" s="538">
        <v>3</v>
      </c>
      <c r="E463" s="558" t="s">
        <v>516</v>
      </c>
    </row>
    <row r="464" spans="1:5">
      <c r="A464" s="538" t="str">
        <f t="shared" si="10"/>
        <v>INDEC-PB - 2022-1</v>
      </c>
      <c r="B464" s="18">
        <v>2022</v>
      </c>
      <c r="C464" s="538" t="s">
        <v>44</v>
      </c>
      <c r="D464" s="538">
        <v>1</v>
      </c>
      <c r="E464" s="558" t="s">
        <v>517</v>
      </c>
    </row>
    <row r="465" spans="1:5">
      <c r="A465" s="538" t="str">
        <f t="shared" si="10"/>
        <v>INDEC-PB - 2511-1</v>
      </c>
      <c r="B465" s="18">
        <v>2511</v>
      </c>
      <c r="C465" s="538" t="s">
        <v>44</v>
      </c>
      <c r="D465" s="538">
        <v>1</v>
      </c>
      <c r="E465" s="558" t="s">
        <v>518</v>
      </c>
    </row>
    <row r="466" spans="1:5">
      <c r="A466" s="538" t="str">
        <f t="shared" si="10"/>
        <v>INDEC-PB - 2899-</v>
      </c>
      <c r="B466" s="18">
        <v>2899</v>
      </c>
      <c r="C466" s="538" t="s">
        <v>44</v>
      </c>
      <c r="E466" s="558" t="s">
        <v>519</v>
      </c>
    </row>
    <row r="467" spans="1:5">
      <c r="A467" s="538" t="str">
        <f t="shared" si="10"/>
        <v>INDEC-PB - 3110-1</v>
      </c>
      <c r="B467" s="18">
        <v>3110</v>
      </c>
      <c r="C467" s="538" t="s">
        <v>44</v>
      </c>
      <c r="D467" s="538">
        <v>1</v>
      </c>
      <c r="E467" s="558" t="s">
        <v>520</v>
      </c>
    </row>
    <row r="468" spans="1:5">
      <c r="A468" s="538" t="str">
        <f t="shared" si="10"/>
        <v>INDEC-PB - 2320-1</v>
      </c>
      <c r="B468" s="18">
        <v>2320</v>
      </c>
      <c r="C468" s="538" t="s">
        <v>44</v>
      </c>
      <c r="D468" s="538">
        <v>1</v>
      </c>
      <c r="E468" s="558" t="s">
        <v>521</v>
      </c>
    </row>
    <row r="469" spans="1:5">
      <c r="A469" s="538" t="str">
        <f t="shared" si="10"/>
        <v>INDEC-PB - 2924-1</v>
      </c>
      <c r="B469" s="18">
        <v>2924</v>
      </c>
      <c r="C469" s="538" t="s">
        <v>44</v>
      </c>
      <c r="D469" s="538">
        <v>1</v>
      </c>
      <c r="E469" s="558" t="s">
        <v>522</v>
      </c>
    </row>
    <row r="470" spans="1:5">
      <c r="A470" s="538" t="str">
        <f t="shared" si="10"/>
        <v>INDEC-PB - 2692-1</v>
      </c>
      <c r="B470" s="18">
        <v>2692</v>
      </c>
      <c r="C470" s="538" t="s">
        <v>44</v>
      </c>
      <c r="D470" s="538">
        <v>1</v>
      </c>
      <c r="E470" s="558" t="s">
        <v>523</v>
      </c>
    </row>
    <row r="471" spans="1:5">
      <c r="A471" s="538" t="str">
        <f t="shared" si="10"/>
        <v>INDEC-PB - 3410-</v>
      </c>
      <c r="B471" s="18">
        <v>3410</v>
      </c>
      <c r="C471" s="538" t="s">
        <v>44</v>
      </c>
      <c r="E471" s="558" t="s">
        <v>524</v>
      </c>
    </row>
    <row r="472" spans="1:5">
      <c r="A472" s="538" t="str">
        <f t="shared" si="10"/>
        <v>INDEC-PB - 2413-1</v>
      </c>
      <c r="B472" s="18">
        <v>2413</v>
      </c>
      <c r="C472" s="538" t="s">
        <v>44</v>
      </c>
      <c r="D472" s="538">
        <v>1</v>
      </c>
      <c r="E472" s="558" t="s">
        <v>525</v>
      </c>
    </row>
    <row r="473" spans="1:5">
      <c r="A473" s="538" t="str">
        <f t="shared" si="10"/>
        <v>INDEC-PB - 291-</v>
      </c>
      <c r="B473" s="18">
        <v>291</v>
      </c>
      <c r="C473" s="538" t="s">
        <v>44</v>
      </c>
      <c r="E473" s="17" t="s">
        <v>526</v>
      </c>
    </row>
    <row r="474" spans="1:5">
      <c r="A474" s="538" t="str">
        <f t="shared" si="10"/>
        <v>INDEC-PB - 2610-1</v>
      </c>
      <c r="B474" s="18">
        <v>2610</v>
      </c>
      <c r="C474" s="538" t="s">
        <v>44</v>
      </c>
      <c r="D474" s="538">
        <v>1</v>
      </c>
      <c r="E474" s="17" t="s">
        <v>527</v>
      </c>
    </row>
    <row r="475" spans="1:5">
      <c r="A475" s="18"/>
      <c r="B475" s="547"/>
      <c r="C475" s="18"/>
      <c r="E475" s="17"/>
    </row>
    <row r="476" spans="1:5">
      <c r="A476" s="18"/>
      <c r="B476" s="547"/>
      <c r="C476" s="18"/>
      <c r="E476" s="561" t="s">
        <v>483</v>
      </c>
    </row>
    <row r="477" spans="1:5">
      <c r="A477" s="538" t="str">
        <f t="shared" ref="A477:A482" si="11">CONCATENATE("INDEC-PB - ",B477,C477,D477)</f>
        <v>INDEC-PB - 2710-1</v>
      </c>
      <c r="B477" s="18">
        <v>2710</v>
      </c>
      <c r="C477" s="538" t="s">
        <v>44</v>
      </c>
      <c r="D477" s="18">
        <v>1</v>
      </c>
      <c r="E477" s="17" t="s">
        <v>528</v>
      </c>
    </row>
    <row r="478" spans="1:5">
      <c r="A478" s="538" t="str">
        <f t="shared" si="11"/>
        <v>INDEC-PB - 2720-1</v>
      </c>
      <c r="B478" s="18">
        <v>2720</v>
      </c>
      <c r="C478" s="538" t="s">
        <v>44</v>
      </c>
      <c r="D478" s="18">
        <v>1</v>
      </c>
      <c r="E478" s="17" t="s">
        <v>529</v>
      </c>
    </row>
    <row r="479" spans="1:5">
      <c r="A479" s="538" t="str">
        <f t="shared" si="11"/>
        <v>INDEC-PB - 2922-1</v>
      </c>
      <c r="B479" s="18">
        <v>2922</v>
      </c>
      <c r="C479" s="538" t="s">
        <v>44</v>
      </c>
      <c r="D479" s="18">
        <v>1</v>
      </c>
      <c r="E479" s="17" t="s">
        <v>530</v>
      </c>
    </row>
    <row r="480" spans="1:5">
      <c r="A480" s="538" t="str">
        <f t="shared" si="11"/>
        <v>INDEC-PB - 2913-1</v>
      </c>
      <c r="B480" s="18">
        <v>2913</v>
      </c>
      <c r="C480" s="538" t="s">
        <v>44</v>
      </c>
      <c r="D480" s="18">
        <v>1</v>
      </c>
      <c r="E480" s="17" t="s">
        <v>531</v>
      </c>
    </row>
    <row r="481" spans="1:7">
      <c r="A481" s="538" t="str">
        <f t="shared" si="11"/>
        <v>INDEC-PB - 2413-11</v>
      </c>
      <c r="B481" s="18">
        <v>2413</v>
      </c>
      <c r="C481" s="538" t="s">
        <v>44</v>
      </c>
      <c r="D481" s="18">
        <v>11</v>
      </c>
      <c r="E481" s="17" t="s">
        <v>532</v>
      </c>
    </row>
    <row r="482" spans="1:7">
      <c r="A482" s="538" t="str">
        <f t="shared" si="11"/>
        <v>INDEC-PB - 2411-1</v>
      </c>
      <c r="B482" s="18">
        <v>2411</v>
      </c>
      <c r="C482" s="538" t="s">
        <v>44</v>
      </c>
      <c r="D482" s="18">
        <v>1</v>
      </c>
      <c r="E482" s="17" t="s">
        <v>533</v>
      </c>
    </row>
    <row r="485" spans="1:7">
      <c r="A485" s="564"/>
      <c r="B485" s="536" t="s">
        <v>569</v>
      </c>
      <c r="C485" s="565"/>
      <c r="D485" s="565"/>
    </row>
    <row r="487" spans="1:7">
      <c r="A487" s="540"/>
      <c r="B487" s="733" t="s">
        <v>260</v>
      </c>
      <c r="C487" s="540"/>
      <c r="D487" s="540"/>
      <c r="E487" s="733" t="s">
        <v>261</v>
      </c>
      <c r="F487" s="733" t="s">
        <v>262</v>
      </c>
      <c r="G487" s="733" t="s">
        <v>263</v>
      </c>
    </row>
    <row r="488" spans="1:7">
      <c r="A488" s="540"/>
      <c r="B488" s="733"/>
      <c r="C488" s="540"/>
      <c r="D488" s="540"/>
      <c r="E488" s="733"/>
      <c r="F488" s="733" t="s">
        <v>264</v>
      </c>
      <c r="G488" s="733"/>
    </row>
    <row r="490" spans="1:7">
      <c r="A490" s="538" t="str">
        <f t="shared" ref="A490:A500" si="12">CONCATENATE("INDEC-DCTO - Inciso ",B490)</f>
        <v>INDEC-DCTO - Inciso a)</v>
      </c>
      <c r="B490" s="538" t="s">
        <v>265</v>
      </c>
      <c r="E490" s="537" t="s">
        <v>266</v>
      </c>
      <c r="F490" s="538" t="s">
        <v>267</v>
      </c>
      <c r="G490" s="537" t="s">
        <v>268</v>
      </c>
    </row>
    <row r="491" spans="1:7">
      <c r="A491" s="538" t="str">
        <f t="shared" si="12"/>
        <v>INDEC-DCTO - Inciso b)</v>
      </c>
      <c r="B491" s="538" t="s">
        <v>269</v>
      </c>
      <c r="E491" s="537" t="s">
        <v>270</v>
      </c>
      <c r="F491" s="538" t="s">
        <v>271</v>
      </c>
      <c r="G491" s="537" t="s">
        <v>272</v>
      </c>
    </row>
    <row r="492" spans="1:7">
      <c r="A492" s="538" t="str">
        <f t="shared" si="12"/>
        <v>INDEC-DCTO - Inciso d)</v>
      </c>
      <c r="B492" s="538" t="s">
        <v>273</v>
      </c>
      <c r="E492" s="537" t="s">
        <v>274</v>
      </c>
      <c r="F492" s="538" t="s">
        <v>271</v>
      </c>
      <c r="G492" s="537" t="s">
        <v>275</v>
      </c>
    </row>
    <row r="493" spans="1:7">
      <c r="A493" s="538" t="str">
        <f t="shared" si="12"/>
        <v>INDEC-DCTO - Inciso f)</v>
      </c>
      <c r="B493" s="538" t="s">
        <v>276</v>
      </c>
      <c r="E493" s="537" t="s">
        <v>277</v>
      </c>
      <c r="F493" s="538" t="s">
        <v>278</v>
      </c>
      <c r="G493" s="537" t="s">
        <v>279</v>
      </c>
    </row>
    <row r="494" spans="1:7">
      <c r="A494" s="538" t="str">
        <f t="shared" si="12"/>
        <v>INDEC-DCTO - Inciso g)</v>
      </c>
      <c r="B494" s="538" t="s">
        <v>280</v>
      </c>
      <c r="E494" s="537" t="s">
        <v>281</v>
      </c>
      <c r="F494" s="538" t="s">
        <v>271</v>
      </c>
      <c r="G494" s="537" t="s">
        <v>282</v>
      </c>
    </row>
    <row r="495" spans="1:7">
      <c r="A495" s="538" t="str">
        <f t="shared" si="12"/>
        <v>INDEC-DCTO - Inciso h)</v>
      </c>
      <c r="B495" s="538" t="s">
        <v>283</v>
      </c>
      <c r="E495" s="537" t="s">
        <v>284</v>
      </c>
      <c r="F495" s="538" t="s">
        <v>285</v>
      </c>
      <c r="G495" s="537" t="s">
        <v>286</v>
      </c>
    </row>
    <row r="496" spans="1:7">
      <c r="A496" s="538" t="str">
        <f t="shared" si="12"/>
        <v>INDEC-DCTO - Inciso p)</v>
      </c>
      <c r="B496" s="538" t="s">
        <v>287</v>
      </c>
      <c r="E496" s="537" t="s">
        <v>288</v>
      </c>
      <c r="F496" s="538" t="s">
        <v>267</v>
      </c>
      <c r="G496" s="537" t="s">
        <v>289</v>
      </c>
    </row>
    <row r="497" spans="1:7">
      <c r="A497" s="538" t="str">
        <f t="shared" si="12"/>
        <v>INDEC-DCTO - Inciso r)</v>
      </c>
      <c r="B497" s="538" t="s">
        <v>290</v>
      </c>
      <c r="E497" s="537" t="s">
        <v>291</v>
      </c>
      <c r="F497" s="538" t="s">
        <v>271</v>
      </c>
      <c r="G497" s="537" t="s">
        <v>292</v>
      </c>
    </row>
    <row r="498" spans="1:7">
      <c r="A498" s="538" t="str">
        <f t="shared" si="12"/>
        <v>INDEC-DCTO - Inciso s)</v>
      </c>
      <c r="B498" s="538" t="s">
        <v>293</v>
      </c>
      <c r="E498" s="537" t="s">
        <v>294</v>
      </c>
      <c r="F498" s="538" t="s">
        <v>285</v>
      </c>
      <c r="G498" s="537" t="s">
        <v>164</v>
      </c>
    </row>
    <row r="499" spans="1:7">
      <c r="A499" s="538" t="str">
        <f t="shared" si="12"/>
        <v>INDEC-DCTO - Inciso u)</v>
      </c>
      <c r="B499" s="538" t="s">
        <v>295</v>
      </c>
      <c r="E499" s="537" t="s">
        <v>296</v>
      </c>
      <c r="F499" s="538">
        <v>4324041</v>
      </c>
      <c r="G499" s="537" t="s">
        <v>187</v>
      </c>
    </row>
    <row r="500" spans="1:7">
      <c r="A500" s="538" t="str">
        <f t="shared" si="12"/>
        <v>INDEC-DCTO - Inciso v)</v>
      </c>
      <c r="B500" s="538" t="s">
        <v>297</v>
      </c>
      <c r="E500" s="537" t="s">
        <v>298</v>
      </c>
      <c r="F500" s="538">
        <v>4322032</v>
      </c>
      <c r="G500" s="537" t="s">
        <v>132</v>
      </c>
    </row>
    <row r="501" spans="1:7">
      <c r="A501" s="538"/>
      <c r="F501" s="538"/>
    </row>
    <row r="502" spans="1:7">
      <c r="A502" s="538" t="str">
        <f>CONCATENATE("INDEC-DCTO - Inciso ",B502)</f>
        <v>INDEC-DCTO - Inciso c)</v>
      </c>
      <c r="B502" s="538" t="s">
        <v>299</v>
      </c>
      <c r="E502" s="537" t="s">
        <v>300</v>
      </c>
      <c r="F502" s="538"/>
      <c r="G502" s="537" t="s">
        <v>570</v>
      </c>
    </row>
    <row r="503" spans="1:7">
      <c r="A503" s="538" t="str">
        <f>CONCATENATE("INDEC-DCTO - Inciso ",B503)</f>
        <v>INDEC-DCTO - Inciso m)</v>
      </c>
      <c r="B503" s="538" t="s">
        <v>301</v>
      </c>
      <c r="E503" s="537" t="s">
        <v>302</v>
      </c>
      <c r="F503" s="538"/>
      <c r="G503" s="537" t="s">
        <v>571</v>
      </c>
    </row>
    <row r="504" spans="1:7">
      <c r="A504" s="538" t="str">
        <f>CONCATENATE("INDEC-DCTO - Inciso ",B504)</f>
        <v>INDEC-DCTO - Inciso n)</v>
      </c>
      <c r="B504" s="538" t="s">
        <v>303</v>
      </c>
      <c r="E504" s="537" t="s">
        <v>304</v>
      </c>
      <c r="F504" s="538"/>
      <c r="G504" s="537" t="s">
        <v>572</v>
      </c>
    </row>
    <row r="505" spans="1:7">
      <c r="A505" s="538" t="str">
        <f>CONCATENATE("INDEC-DCTO - Inciso ",B505)</f>
        <v>INDEC-DCTO - Inciso q)</v>
      </c>
      <c r="B505" s="538" t="s">
        <v>305</v>
      </c>
      <c r="E505" s="537" t="s">
        <v>306</v>
      </c>
      <c r="F505" s="538"/>
      <c r="G505" s="537" t="s">
        <v>573</v>
      </c>
    </row>
    <row r="508" spans="1:7">
      <c r="B508" s="536" t="s">
        <v>574</v>
      </c>
    </row>
    <row r="511" spans="1:7">
      <c r="A511" s="540"/>
      <c r="B511" s="733" t="s">
        <v>260</v>
      </c>
      <c r="C511" s="540"/>
      <c r="D511" s="540"/>
      <c r="E511" s="733" t="s">
        <v>261</v>
      </c>
      <c r="F511" s="733" t="s">
        <v>262</v>
      </c>
      <c r="G511" s="733" t="s">
        <v>263</v>
      </c>
    </row>
    <row r="512" spans="1:7">
      <c r="A512" s="540"/>
      <c r="B512" s="733"/>
      <c r="C512" s="540"/>
      <c r="D512" s="540"/>
      <c r="E512" s="733"/>
      <c r="F512" s="733" t="s">
        <v>264</v>
      </c>
      <c r="G512" s="733"/>
    </row>
    <row r="513" spans="1:7">
      <c r="A513" s="17"/>
      <c r="B513" s="16"/>
      <c r="C513" s="16"/>
      <c r="D513" s="16"/>
      <c r="E513" s="17"/>
      <c r="F513" s="17"/>
      <c r="G513" s="17"/>
    </row>
    <row r="514" spans="1:7">
      <c r="A514" s="17"/>
      <c r="B514" s="16"/>
      <c r="C514" s="16"/>
      <c r="D514" s="16"/>
      <c r="E514" s="553" t="s">
        <v>506</v>
      </c>
      <c r="F514" s="17"/>
      <c r="G514" s="17"/>
    </row>
    <row r="515" spans="1:7">
      <c r="A515" s="538" t="str">
        <f>CONCATENATE("INDEC-DCTO - Inciso ",B515)</f>
        <v>INDEC-DCTO - Inciso e)</v>
      </c>
      <c r="B515" s="538" t="s">
        <v>563</v>
      </c>
      <c r="C515" s="16"/>
      <c r="D515" s="16"/>
      <c r="E515" s="17" t="s">
        <v>545</v>
      </c>
      <c r="F515" s="16" t="s">
        <v>546</v>
      </c>
      <c r="G515" s="17" t="s">
        <v>547</v>
      </c>
    </row>
    <row r="516" spans="1:7">
      <c r="A516" s="538" t="str">
        <f>CONCATENATE("INDEC-DCTO - Inciso ",B516)</f>
        <v>INDEC-DCTO - Inciso i)</v>
      </c>
      <c r="B516" s="538" t="s">
        <v>564</v>
      </c>
      <c r="C516" s="16"/>
      <c r="D516" s="16"/>
      <c r="E516" s="17" t="s">
        <v>548</v>
      </c>
      <c r="F516" s="16" t="s">
        <v>549</v>
      </c>
      <c r="G516" s="17" t="s">
        <v>550</v>
      </c>
    </row>
    <row r="517" spans="1:7">
      <c r="A517" s="538" t="str">
        <f>CONCATENATE("INDEC-DCTO - Inciso ",B517)</f>
        <v>INDEC-DCTO - Inciso k)</v>
      </c>
      <c r="B517" s="538" t="s">
        <v>565</v>
      </c>
      <c r="C517" s="16"/>
      <c r="D517" s="16"/>
      <c r="E517" s="17" t="s">
        <v>551</v>
      </c>
      <c r="F517" s="16" t="s">
        <v>552</v>
      </c>
      <c r="G517" s="17" t="s">
        <v>553</v>
      </c>
    </row>
    <row r="518" spans="1:7">
      <c r="A518" s="538" t="str">
        <f>CONCATENATE("INDEC-DCTO - Inciso ",B518)</f>
        <v>INDEC-DCTO - Inciso t)</v>
      </c>
      <c r="B518" s="538" t="s">
        <v>566</v>
      </c>
      <c r="C518" s="16"/>
      <c r="D518" s="16"/>
      <c r="E518" s="17" t="s">
        <v>554</v>
      </c>
      <c r="F518" s="16" t="s">
        <v>555</v>
      </c>
      <c r="G518" s="17" t="s">
        <v>556</v>
      </c>
    </row>
    <row r="519" spans="1:7">
      <c r="A519" s="538" t="str">
        <f>CONCATENATE("INDEC-DCTO - Inciso ",B519)</f>
        <v>INDEC-DCTO - Inciso w)</v>
      </c>
      <c r="B519" s="538" t="s">
        <v>567</v>
      </c>
      <c r="C519" s="16"/>
      <c r="D519" s="16"/>
      <c r="E519" s="17" t="s">
        <v>557</v>
      </c>
      <c r="F519" s="16" t="s">
        <v>558</v>
      </c>
      <c r="G519" s="17" t="s">
        <v>559</v>
      </c>
    </row>
    <row r="520" spans="1:7">
      <c r="A520" s="17"/>
      <c r="C520" s="16"/>
      <c r="D520" s="16"/>
      <c r="E520" s="17"/>
      <c r="F520" s="16"/>
      <c r="G520" s="17"/>
    </row>
    <row r="521" spans="1:7">
      <c r="A521" s="17"/>
      <c r="C521" s="16"/>
      <c r="D521" s="16"/>
      <c r="E521" s="553" t="s">
        <v>483</v>
      </c>
      <c r="F521" s="16"/>
      <c r="G521" s="17"/>
    </row>
    <row r="522" spans="1:7">
      <c r="A522" s="538" t="str">
        <f>CONCATENATE("INDEC-DCTO - Inciso ",B522)</f>
        <v>INDEC-DCTO - Inciso j)</v>
      </c>
      <c r="B522" s="538" t="s">
        <v>568</v>
      </c>
      <c r="C522" s="16"/>
      <c r="D522" s="16"/>
      <c r="E522" s="17" t="s">
        <v>560</v>
      </c>
      <c r="F522" s="16" t="s">
        <v>561</v>
      </c>
      <c r="G522" s="17" t="s">
        <v>562</v>
      </c>
    </row>
    <row r="523" spans="1:7">
      <c r="A523" s="16"/>
      <c r="B523" s="16"/>
      <c r="C523" s="16"/>
      <c r="D523" s="16"/>
      <c r="E523" s="17"/>
      <c r="F523" s="16"/>
      <c r="G523" s="17"/>
    </row>
    <row r="526" spans="1:7">
      <c r="A526" s="17"/>
      <c r="B526" s="547"/>
      <c r="C526" s="16"/>
      <c r="D526" s="16"/>
      <c r="E526" s="17"/>
    </row>
    <row r="528" spans="1:7">
      <c r="A528" s="535"/>
      <c r="B528" s="536" t="s">
        <v>307</v>
      </c>
      <c r="C528" s="536"/>
      <c r="D528" s="536"/>
    </row>
    <row r="530" spans="1:5">
      <c r="A530" s="733" t="s">
        <v>342</v>
      </c>
      <c r="B530" s="733" t="s">
        <v>41</v>
      </c>
      <c r="C530" s="733"/>
      <c r="D530" s="733"/>
      <c r="E530" s="733" t="s">
        <v>42</v>
      </c>
    </row>
    <row r="531" spans="1:5">
      <c r="A531" s="733"/>
      <c r="B531" s="733" t="s">
        <v>43</v>
      </c>
      <c r="C531" s="733"/>
      <c r="D531" s="733"/>
      <c r="E531" s="733"/>
    </row>
    <row r="532" spans="1:5">
      <c r="A532" s="538" t="str">
        <f t="shared" ref="A532:A553" si="13">CONCATENATE("INDEC-GG ",B532,C532,D532)</f>
        <v>INDEC-GG 18000-1</v>
      </c>
      <c r="B532" s="538">
        <v>18000</v>
      </c>
      <c r="C532" s="538" t="s">
        <v>44</v>
      </c>
      <c r="D532" s="538">
        <v>1</v>
      </c>
      <c r="E532" s="541" t="s">
        <v>308</v>
      </c>
    </row>
    <row r="533" spans="1:5">
      <c r="A533" s="538" t="str">
        <f t="shared" si="13"/>
        <v>INDEC-GG 83107-1</v>
      </c>
      <c r="B533" s="538">
        <v>83107</v>
      </c>
      <c r="C533" s="538" t="s">
        <v>44</v>
      </c>
      <c r="D533" s="538">
        <v>1</v>
      </c>
      <c r="E533" s="541" t="s">
        <v>309</v>
      </c>
    </row>
    <row r="534" spans="1:5">
      <c r="A534" s="538" t="str">
        <f t="shared" si="13"/>
        <v>INDEC-GG 71240-11</v>
      </c>
      <c r="B534" s="538">
        <v>71240</v>
      </c>
      <c r="C534" s="538" t="s">
        <v>44</v>
      </c>
      <c r="D534" s="538">
        <v>11</v>
      </c>
      <c r="E534" s="542" t="s">
        <v>310</v>
      </c>
    </row>
    <row r="535" spans="1:5">
      <c r="A535" s="538" t="str">
        <f t="shared" si="13"/>
        <v>INDEC-GG 71233-11</v>
      </c>
      <c r="B535" s="538">
        <v>71233</v>
      </c>
      <c r="C535" s="538" t="s">
        <v>44</v>
      </c>
      <c r="D535" s="538">
        <v>11</v>
      </c>
      <c r="E535" s="542" t="s">
        <v>311</v>
      </c>
    </row>
    <row r="536" spans="1:5">
      <c r="A536" s="538" t="str">
        <f t="shared" si="13"/>
        <v>INDEC-GG 51800-11</v>
      </c>
      <c r="B536" s="538">
        <v>51800</v>
      </c>
      <c r="C536" s="538" t="s">
        <v>44</v>
      </c>
      <c r="D536" s="538">
        <v>11</v>
      </c>
      <c r="E536" s="542" t="s">
        <v>312</v>
      </c>
    </row>
    <row r="537" spans="1:5">
      <c r="A537" s="538" t="str">
        <f t="shared" si="13"/>
        <v>INDEC-GG 51800-21</v>
      </c>
      <c r="B537" s="538">
        <v>51800</v>
      </c>
      <c r="C537" s="538" t="s">
        <v>44</v>
      </c>
      <c r="D537" s="538">
        <v>21</v>
      </c>
      <c r="E537" s="541" t="s">
        <v>313</v>
      </c>
    </row>
    <row r="538" spans="1:5">
      <c r="A538" s="538" t="str">
        <f t="shared" si="13"/>
        <v>INDEC-GG 74110-11</v>
      </c>
      <c r="B538" s="538">
        <v>74110</v>
      </c>
      <c r="C538" s="538" t="s">
        <v>44</v>
      </c>
      <c r="D538" s="538">
        <v>11</v>
      </c>
      <c r="E538" s="542" t="s">
        <v>314</v>
      </c>
    </row>
    <row r="539" spans="1:5">
      <c r="A539" s="538" t="str">
        <f t="shared" si="13"/>
        <v>INDEC-GG 51560-31</v>
      </c>
      <c r="B539" s="538">
        <v>51560</v>
      </c>
      <c r="C539" s="538" t="s">
        <v>44</v>
      </c>
      <c r="D539" s="538">
        <v>31</v>
      </c>
      <c r="E539" s="541" t="s">
        <v>315</v>
      </c>
    </row>
    <row r="540" spans="1:5">
      <c r="A540" s="538" t="str">
        <f t="shared" si="13"/>
        <v>INDEC-GG 53111-1</v>
      </c>
      <c r="B540" s="538">
        <v>53111</v>
      </c>
      <c r="C540" s="538" t="s">
        <v>44</v>
      </c>
      <c r="D540" s="538">
        <v>1</v>
      </c>
      <c r="E540" s="542" t="s">
        <v>316</v>
      </c>
    </row>
    <row r="541" spans="1:5">
      <c r="A541" s="538" t="str">
        <f t="shared" si="13"/>
        <v>INDEC-GG 54400-1</v>
      </c>
      <c r="B541" s="538">
        <v>54400</v>
      </c>
      <c r="C541" s="538" t="s">
        <v>44</v>
      </c>
      <c r="D541" s="538">
        <v>1</v>
      </c>
      <c r="E541" s="542" t="s">
        <v>317</v>
      </c>
    </row>
    <row r="542" spans="1:5">
      <c r="A542" s="538" t="str">
        <f t="shared" si="13"/>
        <v>INDEC-GG 18000-21</v>
      </c>
      <c r="B542" s="538">
        <v>18000</v>
      </c>
      <c r="C542" s="538" t="s">
        <v>44</v>
      </c>
      <c r="D542" s="538">
        <v>21</v>
      </c>
      <c r="E542" s="542" t="s">
        <v>318</v>
      </c>
    </row>
    <row r="543" spans="1:5">
      <c r="A543" s="538" t="str">
        <f t="shared" si="13"/>
        <v>INDEC-GG 18000-22</v>
      </c>
      <c r="B543" s="538">
        <v>18000</v>
      </c>
      <c r="C543" s="538" t="s">
        <v>44</v>
      </c>
      <c r="D543" s="538">
        <v>22</v>
      </c>
      <c r="E543" s="542" t="s">
        <v>319</v>
      </c>
    </row>
    <row r="544" spans="1:5">
      <c r="A544" s="538" t="str">
        <f t="shared" si="13"/>
        <v>INDEC-GG 88700-2</v>
      </c>
      <c r="B544" s="538">
        <v>88700</v>
      </c>
      <c r="C544" s="538" t="s">
        <v>44</v>
      </c>
      <c r="D544" s="538">
        <v>2</v>
      </c>
      <c r="E544" s="542" t="s">
        <v>320</v>
      </c>
    </row>
    <row r="545" spans="1:5">
      <c r="A545" s="538" t="str">
        <f t="shared" si="13"/>
        <v>INDEC-GG 88700-31</v>
      </c>
      <c r="B545" s="538">
        <v>88700</v>
      </c>
      <c r="C545" s="538" t="s">
        <v>44</v>
      </c>
      <c r="D545" s="538">
        <v>31</v>
      </c>
      <c r="E545" s="541" t="s">
        <v>321</v>
      </c>
    </row>
    <row r="546" spans="1:5">
      <c r="A546" s="538" t="str">
        <f t="shared" si="13"/>
        <v>INDEC-GG DEP-EQ</v>
      </c>
      <c r="B546" s="538" t="s">
        <v>933</v>
      </c>
      <c r="E546" s="541" t="s">
        <v>322</v>
      </c>
    </row>
    <row r="547" spans="1:5">
      <c r="A547" s="538" t="str">
        <f t="shared" si="13"/>
        <v>INDEC-GG 88700-1</v>
      </c>
      <c r="B547" s="538">
        <v>88700</v>
      </c>
      <c r="C547" s="538" t="s">
        <v>44</v>
      </c>
      <c r="D547" s="538">
        <v>1</v>
      </c>
      <c r="E547" s="541" t="s">
        <v>323</v>
      </c>
    </row>
    <row r="548" spans="1:5">
      <c r="A548" s="538" t="str">
        <f t="shared" si="13"/>
        <v>INDEC-GG 31210-11</v>
      </c>
      <c r="B548" s="538">
        <v>31210</v>
      </c>
      <c r="C548" s="538" t="s">
        <v>44</v>
      </c>
      <c r="D548" s="538">
        <v>11</v>
      </c>
      <c r="E548" s="541" t="s">
        <v>324</v>
      </c>
    </row>
    <row r="549" spans="1:5">
      <c r="A549" s="538" t="str">
        <f t="shared" si="13"/>
        <v>INDEC-GG 81295-1</v>
      </c>
      <c r="B549" s="538">
        <v>81295</v>
      </c>
      <c r="C549" s="538" t="s">
        <v>44</v>
      </c>
      <c r="D549" s="538">
        <v>1</v>
      </c>
      <c r="E549" s="541" t="s">
        <v>325</v>
      </c>
    </row>
    <row r="550" spans="1:5">
      <c r="A550" s="538" t="str">
        <f t="shared" si="13"/>
        <v>INDEC-GG 81297-1</v>
      </c>
      <c r="B550" s="538">
        <v>81297</v>
      </c>
      <c r="C550" s="538" t="s">
        <v>44</v>
      </c>
      <c r="D550" s="538">
        <v>1</v>
      </c>
      <c r="E550" s="542" t="s">
        <v>326</v>
      </c>
    </row>
    <row r="551" spans="1:5">
      <c r="A551" s="538" t="str">
        <f t="shared" si="13"/>
        <v>INDEC-GG 51560-21</v>
      </c>
      <c r="B551" s="538">
        <v>51560</v>
      </c>
      <c r="C551" s="538" t="s">
        <v>44</v>
      </c>
      <c r="D551" s="538">
        <v>21</v>
      </c>
      <c r="E551" s="541" t="s">
        <v>327</v>
      </c>
    </row>
    <row r="552" spans="1:5">
      <c r="A552" s="538" t="str">
        <f t="shared" si="13"/>
        <v>INDEC-GG 31100-11</v>
      </c>
      <c r="B552" s="538">
        <v>31100</v>
      </c>
      <c r="C552" s="538" t="s">
        <v>44</v>
      </c>
      <c r="D552" s="538">
        <v>11</v>
      </c>
      <c r="E552" s="541" t="s">
        <v>328</v>
      </c>
    </row>
    <row r="553" spans="1:5">
      <c r="A553" s="538" t="str">
        <f t="shared" si="13"/>
        <v>INDEC-GG 53211-11</v>
      </c>
      <c r="B553" s="538">
        <v>53211</v>
      </c>
      <c r="C553" s="538" t="s">
        <v>44</v>
      </c>
      <c r="D553" s="538">
        <v>11</v>
      </c>
      <c r="E553" s="542" t="s">
        <v>329</v>
      </c>
    </row>
    <row r="556" spans="1:5">
      <c r="B556" s="536" t="s">
        <v>717</v>
      </c>
    </row>
    <row r="557" spans="1:5">
      <c r="B557" s="536" t="s">
        <v>718</v>
      </c>
    </row>
    <row r="559" spans="1:5">
      <c r="A559" s="538" t="str">
        <f t="shared" ref="A559:A622" si="14">CONCATENATE("DNV-T I - ",B559)</f>
        <v>DNV-T I - 1</v>
      </c>
      <c r="B559" s="538">
        <v>1</v>
      </c>
      <c r="E559" s="537" t="s">
        <v>266</v>
      </c>
    </row>
    <row r="560" spans="1:5">
      <c r="A560" s="538" t="str">
        <f t="shared" si="14"/>
        <v>DNV-T I - 2</v>
      </c>
      <c r="B560" s="538">
        <v>2</v>
      </c>
      <c r="E560" s="537" t="s">
        <v>719</v>
      </c>
    </row>
    <row r="561" spans="1:5">
      <c r="A561" s="538" t="str">
        <f t="shared" si="14"/>
        <v>DNV-T I - 3</v>
      </c>
      <c r="B561" s="538">
        <v>3</v>
      </c>
      <c r="E561" s="537" t="s">
        <v>720</v>
      </c>
    </row>
    <row r="562" spans="1:5">
      <c r="A562" s="538" t="str">
        <f t="shared" si="14"/>
        <v>DNV-T I - 4</v>
      </c>
      <c r="B562" s="538">
        <v>4</v>
      </c>
      <c r="E562" s="537" t="s">
        <v>721</v>
      </c>
    </row>
    <row r="563" spans="1:5">
      <c r="A563" s="538" t="str">
        <f t="shared" si="14"/>
        <v>DNV-T I - 5</v>
      </c>
      <c r="B563" s="538">
        <v>5</v>
      </c>
      <c r="E563" s="537" t="s">
        <v>722</v>
      </c>
    </row>
    <row r="564" spans="1:5">
      <c r="A564" s="538" t="str">
        <f t="shared" si="14"/>
        <v>DNV-T I - 6</v>
      </c>
      <c r="B564" s="538">
        <v>6</v>
      </c>
      <c r="E564" s="537" t="s">
        <v>723</v>
      </c>
    </row>
    <row r="565" spans="1:5">
      <c r="A565" s="538" t="str">
        <f t="shared" si="14"/>
        <v>DNV-T I - 7</v>
      </c>
      <c r="B565" s="538">
        <v>7</v>
      </c>
      <c r="E565" s="537" t="s">
        <v>724</v>
      </c>
    </row>
    <row r="566" spans="1:5">
      <c r="A566" s="538" t="str">
        <f t="shared" si="14"/>
        <v>DNV-T I - 8</v>
      </c>
      <c r="B566" s="538">
        <v>8</v>
      </c>
      <c r="E566" s="537" t="s">
        <v>725</v>
      </c>
    </row>
    <row r="567" spans="1:5">
      <c r="A567" s="538" t="str">
        <f t="shared" si="14"/>
        <v>DNV-T I - 9</v>
      </c>
      <c r="B567" s="538">
        <v>9</v>
      </c>
      <c r="E567" s="537" t="s">
        <v>726</v>
      </c>
    </row>
    <row r="568" spans="1:5">
      <c r="A568" s="538" t="str">
        <f t="shared" si="14"/>
        <v>DNV-T I - 10</v>
      </c>
      <c r="B568" s="538">
        <v>10</v>
      </c>
      <c r="E568" s="537" t="s">
        <v>727</v>
      </c>
    </row>
    <row r="569" spans="1:5">
      <c r="A569" s="538" t="str">
        <f t="shared" si="14"/>
        <v>DNV-T I - 11</v>
      </c>
      <c r="B569" s="538">
        <v>11</v>
      </c>
      <c r="E569" s="537" t="s">
        <v>728</v>
      </c>
    </row>
    <row r="570" spans="1:5">
      <c r="A570" s="538" t="str">
        <f t="shared" si="14"/>
        <v>DNV-T I - 12</v>
      </c>
      <c r="B570" s="538">
        <v>12</v>
      </c>
      <c r="E570" s="537" t="s">
        <v>729</v>
      </c>
    </row>
    <row r="571" spans="1:5">
      <c r="A571" s="538" t="str">
        <f t="shared" si="14"/>
        <v>DNV-T I - 13</v>
      </c>
      <c r="B571" s="538">
        <v>13</v>
      </c>
      <c r="E571" s="537" t="s">
        <v>730</v>
      </c>
    </row>
    <row r="572" spans="1:5">
      <c r="A572" s="538" t="str">
        <f t="shared" si="14"/>
        <v>DNV-T I - 14</v>
      </c>
      <c r="B572" s="538">
        <v>14</v>
      </c>
      <c r="E572" s="537" t="s">
        <v>731</v>
      </c>
    </row>
    <row r="573" spans="1:5">
      <c r="A573" s="538" t="str">
        <f t="shared" si="14"/>
        <v>DNV-T I - 15</v>
      </c>
      <c r="B573" s="538">
        <v>15</v>
      </c>
      <c r="E573" s="537" t="s">
        <v>732</v>
      </c>
    </row>
    <row r="574" spans="1:5">
      <c r="A574" s="538" t="str">
        <f t="shared" si="14"/>
        <v>DNV-T I - 16</v>
      </c>
      <c r="B574" s="538">
        <v>16</v>
      </c>
      <c r="E574" s="537" t="s">
        <v>733</v>
      </c>
    </row>
    <row r="575" spans="1:5">
      <c r="A575" s="538" t="str">
        <f t="shared" si="14"/>
        <v>DNV-T I - 17</v>
      </c>
      <c r="B575" s="538">
        <v>17</v>
      </c>
      <c r="E575" s="537" t="s">
        <v>734</v>
      </c>
    </row>
    <row r="576" spans="1:5">
      <c r="A576" s="538" t="str">
        <f t="shared" si="14"/>
        <v>DNV-T I - 18</v>
      </c>
      <c r="B576" s="538">
        <v>18</v>
      </c>
      <c r="E576" s="537" t="s">
        <v>735</v>
      </c>
    </row>
    <row r="577" spans="1:5">
      <c r="A577" s="538" t="str">
        <f t="shared" si="14"/>
        <v>DNV-T I - 19</v>
      </c>
      <c r="B577" s="538">
        <v>19</v>
      </c>
      <c r="E577" s="537" t="s">
        <v>736</v>
      </c>
    </row>
    <row r="578" spans="1:5">
      <c r="A578" s="538" t="str">
        <f t="shared" si="14"/>
        <v>DNV-T I - 20</v>
      </c>
      <c r="B578" s="538">
        <v>20</v>
      </c>
      <c r="E578" s="537" t="s">
        <v>737</v>
      </c>
    </row>
    <row r="579" spans="1:5">
      <c r="A579" s="538" t="str">
        <f t="shared" si="14"/>
        <v>DNV-T I - 21</v>
      </c>
      <c r="B579" s="538">
        <v>21</v>
      </c>
      <c r="E579" s="537" t="s">
        <v>738</v>
      </c>
    </row>
    <row r="580" spans="1:5">
      <c r="A580" s="538" t="str">
        <f t="shared" si="14"/>
        <v>DNV-T I - 22</v>
      </c>
      <c r="B580" s="538">
        <v>22</v>
      </c>
      <c r="E580" s="537" t="s">
        <v>739</v>
      </c>
    </row>
    <row r="581" spans="1:5">
      <c r="A581" s="538" t="str">
        <f t="shared" si="14"/>
        <v>DNV-T I - 23</v>
      </c>
      <c r="B581" s="538">
        <v>23</v>
      </c>
      <c r="E581" s="537" t="s">
        <v>740</v>
      </c>
    </row>
    <row r="582" spans="1:5">
      <c r="A582" s="538" t="str">
        <f t="shared" si="14"/>
        <v>DNV-T I - 24</v>
      </c>
      <c r="B582" s="538">
        <v>24</v>
      </c>
      <c r="E582" s="537" t="s">
        <v>741</v>
      </c>
    </row>
    <row r="583" spans="1:5">
      <c r="A583" s="538" t="str">
        <f t="shared" si="14"/>
        <v>DNV-T I - 25</v>
      </c>
      <c r="B583" s="538">
        <v>25</v>
      </c>
      <c r="E583" s="537" t="s">
        <v>742</v>
      </c>
    </row>
    <row r="584" spans="1:5">
      <c r="A584" s="538" t="str">
        <f t="shared" si="14"/>
        <v>DNV-T I - 26</v>
      </c>
      <c r="B584" s="538">
        <v>26</v>
      </c>
      <c r="E584" s="537" t="s">
        <v>743</v>
      </c>
    </row>
    <row r="585" spans="1:5">
      <c r="A585" s="538" t="str">
        <f t="shared" si="14"/>
        <v>DNV-T I - 27</v>
      </c>
      <c r="B585" s="538">
        <v>27</v>
      </c>
      <c r="E585" s="537" t="s">
        <v>744</v>
      </c>
    </row>
    <row r="586" spans="1:5">
      <c r="A586" s="538" t="str">
        <f t="shared" si="14"/>
        <v>DNV-T I - 28</v>
      </c>
      <c r="B586" s="538">
        <v>28</v>
      </c>
      <c r="E586" s="537" t="s">
        <v>745</v>
      </c>
    </row>
    <row r="587" spans="1:5">
      <c r="A587" s="538" t="str">
        <f t="shared" si="14"/>
        <v>DNV-T I - 29</v>
      </c>
      <c r="B587" s="538">
        <v>29</v>
      </c>
      <c r="E587" s="537" t="s">
        <v>746</v>
      </c>
    </row>
    <row r="588" spans="1:5">
      <c r="A588" s="538" t="str">
        <f t="shared" si="14"/>
        <v>DNV-T I - 30</v>
      </c>
      <c r="B588" s="538">
        <v>30</v>
      </c>
      <c r="E588" s="537" t="s">
        <v>747</v>
      </c>
    </row>
    <row r="589" spans="1:5">
      <c r="A589" s="538" t="str">
        <f t="shared" si="14"/>
        <v>DNV-T I - 31</v>
      </c>
      <c r="B589" s="538">
        <v>31</v>
      </c>
      <c r="E589" s="537" t="s">
        <v>748</v>
      </c>
    </row>
    <row r="590" spans="1:5">
      <c r="A590" s="538" t="str">
        <f t="shared" si="14"/>
        <v>DNV-T I - 32</v>
      </c>
      <c r="B590" s="538">
        <v>32</v>
      </c>
      <c r="E590" s="537" t="s">
        <v>749</v>
      </c>
    </row>
    <row r="591" spans="1:5">
      <c r="A591" s="538" t="str">
        <f t="shared" si="14"/>
        <v>DNV-T I - 33</v>
      </c>
      <c r="B591" s="538">
        <v>33</v>
      </c>
      <c r="E591" s="537" t="s">
        <v>750</v>
      </c>
    </row>
    <row r="592" spans="1:5">
      <c r="A592" s="538" t="str">
        <f t="shared" si="14"/>
        <v>DNV-T I - 34</v>
      </c>
      <c r="B592" s="538">
        <v>34</v>
      </c>
      <c r="E592" s="537" t="s">
        <v>751</v>
      </c>
    </row>
    <row r="593" spans="1:5">
      <c r="A593" s="538" t="str">
        <f t="shared" si="14"/>
        <v>DNV-T I - 35</v>
      </c>
      <c r="B593" s="538">
        <v>35</v>
      </c>
      <c r="E593" s="537" t="s">
        <v>752</v>
      </c>
    </row>
    <row r="594" spans="1:5">
      <c r="A594" s="538" t="str">
        <f t="shared" si="14"/>
        <v>DNV-T I - 36</v>
      </c>
      <c r="B594" s="538">
        <v>36</v>
      </c>
      <c r="E594" s="537" t="s">
        <v>753</v>
      </c>
    </row>
    <row r="595" spans="1:5">
      <c r="A595" s="538" t="str">
        <f t="shared" si="14"/>
        <v>DNV-T I - 37</v>
      </c>
      <c r="B595" s="538">
        <v>37</v>
      </c>
      <c r="E595" s="537" t="s">
        <v>754</v>
      </c>
    </row>
    <row r="596" spans="1:5">
      <c r="A596" s="538" t="str">
        <f t="shared" si="14"/>
        <v>DNV-T I - 38</v>
      </c>
      <c r="B596" s="538">
        <v>38</v>
      </c>
      <c r="E596" s="537" t="s">
        <v>755</v>
      </c>
    </row>
    <row r="597" spans="1:5">
      <c r="A597" s="538" t="str">
        <f t="shared" si="14"/>
        <v>DNV-T I - 39</v>
      </c>
      <c r="B597" s="538">
        <v>39</v>
      </c>
      <c r="E597" s="537" t="s">
        <v>756</v>
      </c>
    </row>
    <row r="598" spans="1:5">
      <c r="A598" s="538" t="str">
        <f t="shared" si="14"/>
        <v>DNV-T I - 40</v>
      </c>
      <c r="B598" s="538">
        <v>40</v>
      </c>
      <c r="E598" s="537" t="s">
        <v>757</v>
      </c>
    </row>
    <row r="599" spans="1:5">
      <c r="A599" s="538" t="str">
        <f t="shared" si="14"/>
        <v>DNV-T I - 41</v>
      </c>
      <c r="B599" s="538">
        <v>41</v>
      </c>
      <c r="E599" s="537" t="s">
        <v>758</v>
      </c>
    </row>
    <row r="600" spans="1:5">
      <c r="A600" s="538" t="str">
        <f t="shared" si="14"/>
        <v>DNV-T I - 42</v>
      </c>
      <c r="B600" s="538">
        <v>42</v>
      </c>
      <c r="E600" s="537" t="s">
        <v>759</v>
      </c>
    </row>
    <row r="601" spans="1:5">
      <c r="A601" s="538" t="str">
        <f t="shared" si="14"/>
        <v>DNV-T I - 43</v>
      </c>
      <c r="B601" s="538">
        <v>43</v>
      </c>
      <c r="E601" s="537" t="s">
        <v>760</v>
      </c>
    </row>
    <row r="602" spans="1:5">
      <c r="A602" s="538" t="str">
        <f t="shared" si="14"/>
        <v>DNV-T I - 44</v>
      </c>
      <c r="B602" s="538">
        <v>44</v>
      </c>
      <c r="E602" s="537" t="s">
        <v>761</v>
      </c>
    </row>
    <row r="603" spans="1:5">
      <c r="A603" s="538" t="str">
        <f t="shared" si="14"/>
        <v>DNV-T I - 45</v>
      </c>
      <c r="B603" s="538">
        <v>45</v>
      </c>
      <c r="E603" s="537" t="s">
        <v>762</v>
      </c>
    </row>
    <row r="604" spans="1:5">
      <c r="A604" s="538" t="str">
        <f t="shared" si="14"/>
        <v>DNV-T I - 46</v>
      </c>
      <c r="B604" s="538">
        <v>46</v>
      </c>
      <c r="E604" s="537" t="s">
        <v>763</v>
      </c>
    </row>
    <row r="605" spans="1:5">
      <c r="A605" s="538" t="str">
        <f t="shared" si="14"/>
        <v>DNV-T I - 47</v>
      </c>
      <c r="B605" s="538">
        <v>47</v>
      </c>
      <c r="E605" s="537" t="s">
        <v>764</v>
      </c>
    </row>
    <row r="606" spans="1:5">
      <c r="A606" s="538" t="str">
        <f t="shared" si="14"/>
        <v>DNV-T I - 48</v>
      </c>
      <c r="B606" s="538">
        <v>48</v>
      </c>
      <c r="E606" s="537" t="s">
        <v>765</v>
      </c>
    </row>
    <row r="607" spans="1:5">
      <c r="A607" s="538" t="str">
        <f t="shared" si="14"/>
        <v>DNV-T I - 49</v>
      </c>
      <c r="B607" s="538">
        <v>49</v>
      </c>
      <c r="E607" s="537" t="s">
        <v>766</v>
      </c>
    </row>
    <row r="608" spans="1:5">
      <c r="A608" s="538" t="str">
        <f t="shared" si="14"/>
        <v>DNV-T I - 50</v>
      </c>
      <c r="B608" s="538">
        <v>50</v>
      </c>
      <c r="E608" s="537" t="s">
        <v>767</v>
      </c>
    </row>
    <row r="609" spans="1:5">
      <c r="A609" s="538" t="str">
        <f t="shared" si="14"/>
        <v>DNV-T I - 51</v>
      </c>
      <c r="B609" s="538">
        <v>51</v>
      </c>
      <c r="E609" s="537" t="s">
        <v>768</v>
      </c>
    </row>
    <row r="610" spans="1:5">
      <c r="A610" s="538" t="str">
        <f t="shared" si="14"/>
        <v>DNV-T I - 52</v>
      </c>
      <c r="B610" s="538">
        <v>52</v>
      </c>
      <c r="E610" s="537" t="s">
        <v>769</v>
      </c>
    </row>
    <row r="611" spans="1:5">
      <c r="A611" s="538" t="str">
        <f t="shared" si="14"/>
        <v>DNV-T I - 53</v>
      </c>
      <c r="B611" s="538">
        <v>53</v>
      </c>
      <c r="E611" s="537" t="s">
        <v>770</v>
      </c>
    </row>
    <row r="612" spans="1:5">
      <c r="A612" s="538" t="str">
        <f t="shared" si="14"/>
        <v>DNV-T I - 54</v>
      </c>
      <c r="B612" s="538">
        <v>54</v>
      </c>
      <c r="E612" s="537" t="s">
        <v>771</v>
      </c>
    </row>
    <row r="613" spans="1:5">
      <c r="A613" s="538" t="str">
        <f t="shared" si="14"/>
        <v>DNV-T I - 55</v>
      </c>
      <c r="B613" s="538">
        <v>55</v>
      </c>
      <c r="E613" s="537" t="s">
        <v>772</v>
      </c>
    </row>
    <row r="614" spans="1:5">
      <c r="A614" s="538" t="str">
        <f t="shared" si="14"/>
        <v>DNV-T I - 56</v>
      </c>
      <c r="B614" s="538">
        <v>56</v>
      </c>
      <c r="E614" s="537" t="s">
        <v>773</v>
      </c>
    </row>
    <row r="615" spans="1:5">
      <c r="A615" s="538" t="str">
        <f t="shared" si="14"/>
        <v>DNV-T I - 57</v>
      </c>
      <c r="B615" s="538">
        <v>57</v>
      </c>
      <c r="E615" s="537" t="s">
        <v>774</v>
      </c>
    </row>
    <row r="616" spans="1:5">
      <c r="A616" s="538" t="str">
        <f t="shared" si="14"/>
        <v>DNV-T I - 58</v>
      </c>
      <c r="B616" s="538">
        <v>58</v>
      </c>
      <c r="E616" s="537" t="s">
        <v>775</v>
      </c>
    </row>
    <row r="617" spans="1:5">
      <c r="A617" s="538" t="str">
        <f t="shared" si="14"/>
        <v>DNV-T I - 59</v>
      </c>
      <c r="B617" s="538">
        <v>59</v>
      </c>
      <c r="E617" s="537" t="s">
        <v>776</v>
      </c>
    </row>
    <row r="618" spans="1:5">
      <c r="A618" s="538" t="str">
        <f t="shared" si="14"/>
        <v>DNV-T I - 60</v>
      </c>
      <c r="B618" s="538">
        <v>60</v>
      </c>
      <c r="E618" s="537" t="s">
        <v>777</v>
      </c>
    </row>
    <row r="619" spans="1:5">
      <c r="A619" s="538" t="str">
        <f t="shared" si="14"/>
        <v>DNV-T I - 61</v>
      </c>
      <c r="B619" s="538">
        <v>61</v>
      </c>
      <c r="E619" s="537" t="s">
        <v>778</v>
      </c>
    </row>
    <row r="620" spans="1:5">
      <c r="A620" s="538" t="str">
        <f t="shared" si="14"/>
        <v>DNV-T I - 62</v>
      </c>
      <c r="B620" s="538">
        <v>62</v>
      </c>
      <c r="E620" s="537" t="s">
        <v>779</v>
      </c>
    </row>
    <row r="621" spans="1:5">
      <c r="A621" s="538" t="str">
        <f t="shared" si="14"/>
        <v>DNV-T I - 63</v>
      </c>
      <c r="B621" s="538">
        <v>63</v>
      </c>
      <c r="E621" s="537" t="s">
        <v>780</v>
      </c>
    </row>
    <row r="622" spans="1:5">
      <c r="A622" s="538" t="str">
        <f t="shared" si="14"/>
        <v>DNV-T I - 64</v>
      </c>
      <c r="B622" s="538">
        <v>64</v>
      </c>
      <c r="E622" s="537" t="s">
        <v>781</v>
      </c>
    </row>
    <row r="623" spans="1:5">
      <c r="A623" s="538" t="str">
        <f t="shared" ref="A623:A676" si="15">CONCATENATE("DNV-T I - ",B623)</f>
        <v>DNV-T I - 65</v>
      </c>
      <c r="B623" s="538">
        <v>65</v>
      </c>
      <c r="E623" s="537" t="s">
        <v>782</v>
      </c>
    </row>
    <row r="624" spans="1:5">
      <c r="A624" s="538" t="str">
        <f t="shared" si="15"/>
        <v>DNV-T I - 66</v>
      </c>
      <c r="B624" s="538">
        <v>66</v>
      </c>
      <c r="E624" s="537" t="s">
        <v>783</v>
      </c>
    </row>
    <row r="625" spans="1:5">
      <c r="A625" s="538" t="str">
        <f t="shared" si="15"/>
        <v>DNV-T I - 67</v>
      </c>
      <c r="B625" s="538">
        <v>67</v>
      </c>
      <c r="E625" s="537" t="s">
        <v>784</v>
      </c>
    </row>
    <row r="626" spans="1:5">
      <c r="A626" s="538" t="str">
        <f t="shared" si="15"/>
        <v>DNV-T I - 68</v>
      </c>
      <c r="B626" s="538">
        <v>68</v>
      </c>
      <c r="E626" s="537" t="s">
        <v>785</v>
      </c>
    </row>
    <row r="627" spans="1:5">
      <c r="A627" s="538" t="str">
        <f t="shared" si="15"/>
        <v>DNV-T I - 69</v>
      </c>
      <c r="B627" s="538">
        <v>69</v>
      </c>
      <c r="E627" s="537" t="s">
        <v>786</v>
      </c>
    </row>
    <row r="628" spans="1:5">
      <c r="A628" s="538" t="str">
        <f t="shared" si="15"/>
        <v>DNV-T I - 70</v>
      </c>
      <c r="B628" s="538">
        <v>70</v>
      </c>
      <c r="E628" s="537" t="s">
        <v>787</v>
      </c>
    </row>
    <row r="629" spans="1:5">
      <c r="A629" s="538" t="str">
        <f t="shared" si="15"/>
        <v>DNV-T I - 71</v>
      </c>
      <c r="B629" s="538">
        <v>71</v>
      </c>
      <c r="E629" s="537" t="s">
        <v>788</v>
      </c>
    </row>
    <row r="630" spans="1:5">
      <c r="A630" s="538" t="str">
        <f t="shared" si="15"/>
        <v>DNV-T I - 72</v>
      </c>
      <c r="B630" s="538">
        <v>72</v>
      </c>
      <c r="E630" s="537" t="s">
        <v>789</v>
      </c>
    </row>
    <row r="631" spans="1:5">
      <c r="A631" s="538" t="str">
        <f t="shared" si="15"/>
        <v>DNV-T I - 73</v>
      </c>
      <c r="B631" s="538">
        <v>73</v>
      </c>
      <c r="E631" s="537" t="s">
        <v>790</v>
      </c>
    </row>
    <row r="632" spans="1:5">
      <c r="A632" s="538" t="str">
        <f t="shared" si="15"/>
        <v>DNV-T I - 74</v>
      </c>
      <c r="B632" s="538">
        <v>74</v>
      </c>
      <c r="E632" s="537" t="s">
        <v>791</v>
      </c>
    </row>
    <row r="633" spans="1:5">
      <c r="A633" s="538" t="str">
        <f t="shared" si="15"/>
        <v>DNV-T I - 75</v>
      </c>
      <c r="B633" s="538">
        <v>75</v>
      </c>
      <c r="E633" s="537" t="s">
        <v>792</v>
      </c>
    </row>
    <row r="634" spans="1:5">
      <c r="A634" s="538" t="str">
        <f t="shared" si="15"/>
        <v>DNV-T I - 76</v>
      </c>
      <c r="B634" s="538">
        <v>76</v>
      </c>
      <c r="E634" s="537" t="s">
        <v>793</v>
      </c>
    </row>
    <row r="635" spans="1:5">
      <c r="A635" s="538" t="str">
        <f t="shared" si="15"/>
        <v>DNV-T I - 77</v>
      </c>
      <c r="B635" s="538">
        <v>77</v>
      </c>
      <c r="E635" s="537" t="s">
        <v>794</v>
      </c>
    </row>
    <row r="636" spans="1:5">
      <c r="A636" s="538" t="str">
        <f t="shared" si="15"/>
        <v>DNV-T I - 78</v>
      </c>
      <c r="B636" s="538">
        <v>78</v>
      </c>
      <c r="E636" s="537" t="s">
        <v>795</v>
      </c>
    </row>
    <row r="637" spans="1:5">
      <c r="A637" s="538" t="str">
        <f t="shared" si="15"/>
        <v>DNV-T I - 79</v>
      </c>
      <c r="B637" s="538">
        <v>79</v>
      </c>
      <c r="E637" s="537" t="s">
        <v>796</v>
      </c>
    </row>
    <row r="638" spans="1:5">
      <c r="A638" s="538" t="str">
        <f t="shared" si="15"/>
        <v>DNV-T I - 80</v>
      </c>
      <c r="B638" s="538">
        <v>80</v>
      </c>
      <c r="E638" s="537" t="s">
        <v>797</v>
      </c>
    </row>
    <row r="639" spans="1:5">
      <c r="A639" s="538" t="str">
        <f t="shared" si="15"/>
        <v>DNV-T I - 81</v>
      </c>
      <c r="B639" s="538">
        <v>81</v>
      </c>
      <c r="E639" s="537" t="s">
        <v>798</v>
      </c>
    </row>
    <row r="640" spans="1:5">
      <c r="A640" s="538" t="str">
        <f t="shared" si="15"/>
        <v>DNV-T I - 82</v>
      </c>
      <c r="B640" s="538">
        <v>82</v>
      </c>
      <c r="E640" s="537" t="s">
        <v>799</v>
      </c>
    </row>
    <row r="641" spans="1:5">
      <c r="A641" s="538" t="str">
        <f t="shared" si="15"/>
        <v>DNV-T I - 83</v>
      </c>
      <c r="B641" s="538">
        <v>83</v>
      </c>
      <c r="E641" s="537" t="s">
        <v>800</v>
      </c>
    </row>
    <row r="642" spans="1:5">
      <c r="A642" s="538" t="str">
        <f t="shared" si="15"/>
        <v>DNV-T I - 84</v>
      </c>
      <c r="B642" s="538">
        <v>84</v>
      </c>
      <c r="E642" s="537" t="s">
        <v>801</v>
      </c>
    </row>
    <row r="643" spans="1:5">
      <c r="A643" s="538" t="str">
        <f t="shared" si="15"/>
        <v>DNV-T I - 85</v>
      </c>
      <c r="B643" s="538">
        <v>85</v>
      </c>
      <c r="E643" s="537" t="s">
        <v>802</v>
      </c>
    </row>
    <row r="644" spans="1:5">
      <c r="A644" s="538" t="str">
        <f t="shared" si="15"/>
        <v>DNV-T I - 86</v>
      </c>
      <c r="B644" s="538">
        <v>86</v>
      </c>
      <c r="E644" s="537" t="s">
        <v>803</v>
      </c>
    </row>
    <row r="645" spans="1:5">
      <c r="A645" s="538" t="str">
        <f t="shared" si="15"/>
        <v>DNV-T I - 86.1</v>
      </c>
      <c r="B645" s="538" t="s">
        <v>804</v>
      </c>
      <c r="E645" s="537" t="s">
        <v>805</v>
      </c>
    </row>
    <row r="646" spans="1:5">
      <c r="A646" s="538" t="str">
        <f t="shared" si="15"/>
        <v>DNV-T I - 86.1.1</v>
      </c>
      <c r="B646" s="538" t="s">
        <v>806</v>
      </c>
      <c r="E646" s="537" t="s">
        <v>807</v>
      </c>
    </row>
    <row r="647" spans="1:5">
      <c r="A647" s="538" t="str">
        <f t="shared" si="15"/>
        <v>DNV-T I - 86.1.2</v>
      </c>
      <c r="B647" s="538" t="s">
        <v>808</v>
      </c>
      <c r="E647" s="537" t="s">
        <v>809</v>
      </c>
    </row>
    <row r="648" spans="1:5">
      <c r="A648" s="538" t="str">
        <f t="shared" si="15"/>
        <v>DNV-T I - 86.1.3</v>
      </c>
      <c r="B648" s="538" t="s">
        <v>810</v>
      </c>
      <c r="E648" s="537" t="s">
        <v>811</v>
      </c>
    </row>
    <row r="649" spans="1:5">
      <c r="A649" s="538" t="str">
        <f t="shared" si="15"/>
        <v>DNV-T I - 86.1.4</v>
      </c>
      <c r="B649" s="538" t="s">
        <v>812</v>
      </c>
      <c r="E649" s="537" t="s">
        <v>813</v>
      </c>
    </row>
    <row r="650" spans="1:5">
      <c r="A650" s="538" t="str">
        <f t="shared" si="15"/>
        <v>DNV-T I - 86.1.5</v>
      </c>
      <c r="B650" s="538" t="s">
        <v>814</v>
      </c>
      <c r="E650" s="537" t="s">
        <v>815</v>
      </c>
    </row>
    <row r="651" spans="1:5">
      <c r="A651" s="538" t="str">
        <f t="shared" si="15"/>
        <v>DNV-T I - 86.2</v>
      </c>
      <c r="B651" s="538" t="s">
        <v>816</v>
      </c>
      <c r="E651" s="537" t="s">
        <v>817</v>
      </c>
    </row>
    <row r="652" spans="1:5">
      <c r="A652" s="538" t="str">
        <f t="shared" si="15"/>
        <v>DNV-T I - 86.2.1</v>
      </c>
      <c r="B652" s="538" t="s">
        <v>818</v>
      </c>
      <c r="E652" s="537" t="s">
        <v>807</v>
      </c>
    </row>
    <row r="653" spans="1:5">
      <c r="A653" s="538" t="str">
        <f t="shared" si="15"/>
        <v>DNV-T I - 86.2.2</v>
      </c>
      <c r="B653" s="538" t="s">
        <v>819</v>
      </c>
      <c r="E653" s="537" t="s">
        <v>820</v>
      </c>
    </row>
    <row r="654" spans="1:5">
      <c r="A654" s="538" t="str">
        <f t="shared" si="15"/>
        <v>DNV-T I - 86.2.3</v>
      </c>
      <c r="B654" s="538" t="s">
        <v>821</v>
      </c>
      <c r="E654" s="537" t="s">
        <v>809</v>
      </c>
    </row>
    <row r="655" spans="1:5">
      <c r="A655" s="538" t="str">
        <f t="shared" si="15"/>
        <v>DNV-T I - 86.2.4</v>
      </c>
      <c r="B655" s="538" t="s">
        <v>822</v>
      </c>
      <c r="E655" s="537" t="s">
        <v>811</v>
      </c>
    </row>
    <row r="656" spans="1:5">
      <c r="A656" s="538" t="str">
        <f t="shared" si="15"/>
        <v>DNV-T I - 86.2.5</v>
      </c>
      <c r="B656" s="538" t="s">
        <v>823</v>
      </c>
      <c r="E656" s="537" t="s">
        <v>813</v>
      </c>
    </row>
    <row r="657" spans="1:5">
      <c r="A657" s="538" t="str">
        <f t="shared" si="15"/>
        <v>DNV-T I - 86.2.6</v>
      </c>
      <c r="B657" s="538" t="s">
        <v>824</v>
      </c>
      <c r="E657" s="537" t="s">
        <v>815</v>
      </c>
    </row>
    <row r="658" spans="1:5">
      <c r="A658" s="538" t="str">
        <f t="shared" si="15"/>
        <v>DNV-T I - 87</v>
      </c>
      <c r="B658" s="538">
        <v>87</v>
      </c>
      <c r="E658" s="537" t="s">
        <v>825</v>
      </c>
    </row>
    <row r="659" spans="1:5">
      <c r="A659" s="538" t="str">
        <f t="shared" si="15"/>
        <v>DNV-T I - 88</v>
      </c>
      <c r="B659" s="538">
        <v>88</v>
      </c>
      <c r="E659" s="537" t="s">
        <v>826</v>
      </c>
    </row>
    <row r="660" spans="1:5">
      <c r="A660" s="538" t="str">
        <f t="shared" si="15"/>
        <v>DNV-T I - 89</v>
      </c>
      <c r="B660" s="538">
        <v>89</v>
      </c>
      <c r="E660" s="537" t="s">
        <v>827</v>
      </c>
    </row>
    <row r="661" spans="1:5">
      <c r="A661" s="538" t="str">
        <f t="shared" si="15"/>
        <v>DNV-T I - 90</v>
      </c>
      <c r="B661" s="538">
        <v>90</v>
      </c>
      <c r="E661" s="537" t="s">
        <v>828</v>
      </c>
    </row>
    <row r="662" spans="1:5">
      <c r="A662" s="538" t="str">
        <f t="shared" si="15"/>
        <v>DNV-T I - 91</v>
      </c>
      <c r="B662" s="538">
        <v>91</v>
      </c>
      <c r="E662" s="537" t="s">
        <v>829</v>
      </c>
    </row>
    <row r="663" spans="1:5">
      <c r="A663" s="538" t="str">
        <f t="shared" si="15"/>
        <v>DNV-T I - 92</v>
      </c>
      <c r="B663" s="538">
        <v>92</v>
      </c>
      <c r="E663" s="537" t="s">
        <v>830</v>
      </c>
    </row>
    <row r="664" spans="1:5">
      <c r="A664" s="538" t="str">
        <f t="shared" si="15"/>
        <v>DNV-T I - 93</v>
      </c>
      <c r="B664" s="538">
        <v>93</v>
      </c>
      <c r="E664" s="537" t="s">
        <v>831</v>
      </c>
    </row>
    <row r="665" spans="1:5">
      <c r="A665" s="538" t="str">
        <f t="shared" si="15"/>
        <v>DNV-T I - 94</v>
      </c>
      <c r="B665" s="538">
        <v>94</v>
      </c>
      <c r="E665" s="537" t="s">
        <v>832</v>
      </c>
    </row>
    <row r="666" spans="1:5">
      <c r="A666" s="538" t="str">
        <f t="shared" si="15"/>
        <v>DNV-T I - 95</v>
      </c>
      <c r="B666" s="538">
        <v>95</v>
      </c>
      <c r="E666" s="537" t="s">
        <v>833</v>
      </c>
    </row>
    <row r="667" spans="1:5">
      <c r="A667" s="538" t="str">
        <f t="shared" si="15"/>
        <v>DNV-T I - 96</v>
      </c>
      <c r="B667" s="538">
        <v>96</v>
      </c>
      <c r="E667" s="537" t="s">
        <v>834</v>
      </c>
    </row>
    <row r="668" spans="1:5">
      <c r="A668" s="538" t="str">
        <f t="shared" si="15"/>
        <v>DNV-T I - 97</v>
      </c>
      <c r="B668" s="538">
        <v>97</v>
      </c>
      <c r="E668" s="537" t="s">
        <v>835</v>
      </c>
    </row>
    <row r="669" spans="1:5">
      <c r="A669" s="538" t="str">
        <f t="shared" si="15"/>
        <v>DNV-T I - 98</v>
      </c>
      <c r="B669" s="538">
        <v>98</v>
      </c>
      <c r="E669" s="537" t="s">
        <v>836</v>
      </c>
    </row>
    <row r="670" spans="1:5">
      <c r="A670" s="538" t="str">
        <f t="shared" si="15"/>
        <v>DNV-T I - 99</v>
      </c>
      <c r="B670" s="538">
        <v>99</v>
      </c>
      <c r="E670" s="537" t="s">
        <v>837</v>
      </c>
    </row>
    <row r="671" spans="1:5">
      <c r="A671" s="538" t="str">
        <f t="shared" si="15"/>
        <v>DNV-T I - 100</v>
      </c>
      <c r="B671" s="538">
        <v>100</v>
      </c>
      <c r="E671" s="537" t="s">
        <v>838</v>
      </c>
    </row>
    <row r="672" spans="1:5">
      <c r="A672" s="538" t="str">
        <f t="shared" si="15"/>
        <v>DNV-T I - 101</v>
      </c>
      <c r="B672" s="538">
        <v>101</v>
      </c>
      <c r="E672" s="537" t="s">
        <v>839</v>
      </c>
    </row>
    <row r="673" spans="1:7">
      <c r="A673" s="538" t="str">
        <f t="shared" si="15"/>
        <v>DNV-T I - 102</v>
      </c>
      <c r="B673" s="538">
        <v>102</v>
      </c>
      <c r="E673" s="537" t="s">
        <v>840</v>
      </c>
    </row>
    <row r="674" spans="1:7">
      <c r="A674" s="538" t="str">
        <f t="shared" si="15"/>
        <v>DNV-T I - 103</v>
      </c>
      <c r="B674" s="538">
        <v>103</v>
      </c>
      <c r="E674" s="537" t="s">
        <v>841</v>
      </c>
    </row>
    <row r="675" spans="1:7">
      <c r="A675" s="538" t="str">
        <f t="shared" si="15"/>
        <v>DNV-T I - 104</v>
      </c>
      <c r="B675" s="538">
        <v>104</v>
      </c>
      <c r="E675" s="537" t="s">
        <v>842</v>
      </c>
    </row>
    <row r="676" spans="1:7">
      <c r="A676" s="538" t="str">
        <f t="shared" si="15"/>
        <v>DNV-T I - 105</v>
      </c>
      <c r="B676" s="538">
        <v>105</v>
      </c>
      <c r="E676" s="537" t="s">
        <v>843</v>
      </c>
    </row>
    <row r="678" spans="1:7">
      <c r="A678" s="566"/>
      <c r="B678" s="536" t="s">
        <v>844</v>
      </c>
      <c r="C678" s="536"/>
      <c r="D678" s="567"/>
      <c r="E678" s="566"/>
      <c r="F678" s="568"/>
      <c r="G678" s="568"/>
    </row>
    <row r="679" spans="1:7">
      <c r="A679" s="538" t="str">
        <f t="shared" ref="A679:A713" si="16">CONCATENATE("DNV-TRC - ",E679)</f>
        <v>DNV-TRC - 1</v>
      </c>
      <c r="E679" s="569">
        <v>1</v>
      </c>
    </row>
    <row r="680" spans="1:7">
      <c r="A680" s="538" t="str">
        <f t="shared" si="16"/>
        <v>DNV-TRC - 1,5</v>
      </c>
      <c r="E680" s="569">
        <v>1.5</v>
      </c>
    </row>
    <row r="681" spans="1:7">
      <c r="A681" s="538" t="str">
        <f t="shared" si="16"/>
        <v>DNV-TRC - 2</v>
      </c>
      <c r="E681" s="569">
        <v>2</v>
      </c>
    </row>
    <row r="682" spans="1:7">
      <c r="A682" s="538" t="str">
        <f t="shared" si="16"/>
        <v>DNV-TRC - 2,5</v>
      </c>
      <c r="E682" s="569">
        <v>2.5</v>
      </c>
    </row>
    <row r="683" spans="1:7">
      <c r="A683" s="538" t="str">
        <f t="shared" si="16"/>
        <v>DNV-TRC - 3</v>
      </c>
      <c r="E683" s="569">
        <v>3</v>
      </c>
    </row>
    <row r="684" spans="1:7">
      <c r="A684" s="538" t="str">
        <f t="shared" si="16"/>
        <v>DNV-TRC - 3,5</v>
      </c>
      <c r="E684" s="569">
        <v>3.5</v>
      </c>
    </row>
    <row r="685" spans="1:7">
      <c r="A685" s="538" t="str">
        <f t="shared" si="16"/>
        <v>DNV-TRC - 4</v>
      </c>
      <c r="E685" s="569">
        <v>4</v>
      </c>
    </row>
    <row r="686" spans="1:7">
      <c r="A686" s="538" t="str">
        <f t="shared" si="16"/>
        <v>DNV-TRC - 4,5</v>
      </c>
      <c r="E686" s="569">
        <v>4.5</v>
      </c>
    </row>
    <row r="687" spans="1:7">
      <c r="A687" s="538" t="str">
        <f t="shared" si="16"/>
        <v>DNV-TRC - 5</v>
      </c>
      <c r="E687" s="569">
        <v>5</v>
      </c>
    </row>
    <row r="688" spans="1:7">
      <c r="A688" s="538" t="str">
        <f t="shared" si="16"/>
        <v>DNV-TRC - 6</v>
      </c>
      <c r="E688" s="569">
        <v>6</v>
      </c>
    </row>
    <row r="689" spans="1:5">
      <c r="A689" s="538" t="str">
        <f t="shared" si="16"/>
        <v>DNV-TRC - 7</v>
      </c>
      <c r="E689" s="569">
        <v>7</v>
      </c>
    </row>
    <row r="690" spans="1:5">
      <c r="A690" s="538" t="str">
        <f t="shared" si="16"/>
        <v>DNV-TRC - 8</v>
      </c>
      <c r="E690" s="569">
        <v>8</v>
      </c>
    </row>
    <row r="691" spans="1:5">
      <c r="A691" s="538" t="str">
        <f t="shared" si="16"/>
        <v>DNV-TRC - 9</v>
      </c>
      <c r="E691" s="569">
        <v>9</v>
      </c>
    </row>
    <row r="692" spans="1:5">
      <c r="A692" s="538" t="str">
        <f t="shared" si="16"/>
        <v>DNV-TRC - 10</v>
      </c>
      <c r="E692" s="569">
        <v>10</v>
      </c>
    </row>
    <row r="693" spans="1:5">
      <c r="A693" s="538" t="str">
        <f t="shared" si="16"/>
        <v>DNV-TRC - 12</v>
      </c>
      <c r="E693" s="569">
        <v>12</v>
      </c>
    </row>
    <row r="694" spans="1:5">
      <c r="A694" s="538" t="str">
        <f t="shared" si="16"/>
        <v>DNV-TRC - 15</v>
      </c>
      <c r="E694" s="569">
        <v>15</v>
      </c>
    </row>
    <row r="695" spans="1:5">
      <c r="A695" s="538" t="str">
        <f t="shared" si="16"/>
        <v>DNV-TRC - 17</v>
      </c>
      <c r="E695" s="569">
        <v>17</v>
      </c>
    </row>
    <row r="696" spans="1:5">
      <c r="A696" s="538" t="str">
        <f t="shared" si="16"/>
        <v>DNV-TRC - 19</v>
      </c>
      <c r="E696" s="569">
        <v>19</v>
      </c>
    </row>
    <row r="697" spans="1:5">
      <c r="A697" s="538" t="str">
        <f t="shared" si="16"/>
        <v>DNV-TRC - 20</v>
      </c>
      <c r="E697" s="569">
        <v>20</v>
      </c>
    </row>
    <row r="698" spans="1:5">
      <c r="A698" s="538" t="str">
        <f t="shared" si="16"/>
        <v>DNV-TRC - 25</v>
      </c>
      <c r="E698" s="569">
        <v>25</v>
      </c>
    </row>
    <row r="699" spans="1:5">
      <c r="A699" s="538" t="str">
        <f t="shared" si="16"/>
        <v>DNV-TRC - 30</v>
      </c>
      <c r="E699" s="569">
        <v>30</v>
      </c>
    </row>
    <row r="700" spans="1:5">
      <c r="A700" s="538" t="str">
        <f t="shared" si="16"/>
        <v>DNV-TRC - 35</v>
      </c>
      <c r="E700" s="569">
        <v>35</v>
      </c>
    </row>
    <row r="701" spans="1:5">
      <c r="A701" s="538" t="str">
        <f t="shared" si="16"/>
        <v>DNV-TRC - 40</v>
      </c>
      <c r="E701" s="569">
        <v>40</v>
      </c>
    </row>
    <row r="702" spans="1:5">
      <c r="A702" s="538" t="str">
        <f t="shared" si="16"/>
        <v>DNV-TRC - 45</v>
      </c>
      <c r="E702" s="569">
        <v>45</v>
      </c>
    </row>
    <row r="703" spans="1:5">
      <c r="A703" s="538" t="str">
        <f t="shared" si="16"/>
        <v>DNV-TRC - 50</v>
      </c>
      <c r="E703" s="569">
        <v>50</v>
      </c>
    </row>
    <row r="704" spans="1:5">
      <c r="A704" s="538" t="str">
        <f t="shared" si="16"/>
        <v>DNV-TRC - 55</v>
      </c>
      <c r="E704" s="569">
        <v>55</v>
      </c>
    </row>
    <row r="705" spans="1:7">
      <c r="A705" s="538" t="str">
        <f t="shared" si="16"/>
        <v>DNV-TRC - 60</v>
      </c>
      <c r="E705" s="569">
        <v>60</v>
      </c>
    </row>
    <row r="706" spans="1:7">
      <c r="A706" s="538" t="str">
        <f t="shared" si="16"/>
        <v>DNV-TRC - 65</v>
      </c>
      <c r="E706" s="569">
        <v>65</v>
      </c>
    </row>
    <row r="707" spans="1:7">
      <c r="A707" s="538" t="str">
        <f t="shared" si="16"/>
        <v>DNV-TRC - 70</v>
      </c>
      <c r="E707" s="569">
        <v>70</v>
      </c>
    </row>
    <row r="708" spans="1:7">
      <c r="A708" s="538" t="str">
        <f t="shared" si="16"/>
        <v>DNV-TRC - 75</v>
      </c>
      <c r="E708" s="569">
        <v>75</v>
      </c>
    </row>
    <row r="709" spans="1:7">
      <c r="A709" s="538" t="str">
        <f t="shared" si="16"/>
        <v>DNV-TRC - 80</v>
      </c>
      <c r="E709" s="569">
        <v>80</v>
      </c>
    </row>
    <row r="710" spans="1:7">
      <c r="A710" s="538" t="str">
        <f t="shared" si="16"/>
        <v>DNV-TRC - 85</v>
      </c>
      <c r="E710" s="569">
        <v>85</v>
      </c>
    </row>
    <row r="711" spans="1:7">
      <c r="A711" s="538" t="str">
        <f t="shared" si="16"/>
        <v>DNV-TRC - 90</v>
      </c>
      <c r="E711" s="569">
        <v>90</v>
      </c>
    </row>
    <row r="712" spans="1:7">
      <c r="A712" s="538" t="str">
        <f t="shared" si="16"/>
        <v>DNV-TRC - 95</v>
      </c>
      <c r="E712" s="569">
        <v>95</v>
      </c>
    </row>
    <row r="713" spans="1:7">
      <c r="A713" s="538" t="str">
        <f t="shared" si="16"/>
        <v>DNV-TRC - 100</v>
      </c>
      <c r="E713" s="569">
        <v>100</v>
      </c>
    </row>
    <row r="714" spans="1:7">
      <c r="A714" s="538"/>
      <c r="E714" s="569"/>
    </row>
    <row r="716" spans="1:7">
      <c r="A716" s="536"/>
      <c r="B716" s="536" t="s">
        <v>845</v>
      </c>
      <c r="C716" s="536"/>
      <c r="D716" s="536"/>
      <c r="E716" s="535"/>
      <c r="F716" s="535"/>
      <c r="G716" s="535"/>
    </row>
    <row r="717" spans="1:7">
      <c r="A717" s="538" t="str">
        <f t="shared" ref="A717:A751" si="17">CONCATENATE("DNV-TRCA - ",E717)</f>
        <v>DNV-TRCA - 55</v>
      </c>
      <c r="E717" s="569">
        <v>55</v>
      </c>
    </row>
    <row r="718" spans="1:7">
      <c r="A718" s="538" t="str">
        <f t="shared" si="17"/>
        <v>DNV-TRCA - 60</v>
      </c>
      <c r="E718" s="569">
        <v>60</v>
      </c>
    </row>
    <row r="719" spans="1:7">
      <c r="A719" s="538" t="str">
        <f t="shared" si="17"/>
        <v>DNV-TRCA - 65</v>
      </c>
      <c r="E719" s="569">
        <v>65</v>
      </c>
    </row>
    <row r="720" spans="1:7">
      <c r="A720" s="538" t="str">
        <f t="shared" si="17"/>
        <v>DNV-TRCA - 70</v>
      </c>
      <c r="E720" s="569">
        <v>70</v>
      </c>
    </row>
    <row r="721" spans="1:5">
      <c r="A721" s="538" t="str">
        <f t="shared" si="17"/>
        <v>DNV-TRCA - 75</v>
      </c>
      <c r="E721" s="569">
        <v>75</v>
      </c>
    </row>
    <row r="722" spans="1:5">
      <c r="A722" s="538" t="str">
        <f t="shared" si="17"/>
        <v>DNV-TRCA - 80</v>
      </c>
      <c r="E722" s="569">
        <v>80</v>
      </c>
    </row>
    <row r="723" spans="1:5">
      <c r="A723" s="538" t="str">
        <f t="shared" si="17"/>
        <v>DNV-TRCA - 85</v>
      </c>
      <c r="E723" s="569">
        <v>85</v>
      </c>
    </row>
    <row r="724" spans="1:5">
      <c r="A724" s="538" t="str">
        <f t="shared" si="17"/>
        <v>DNV-TRCA - 90</v>
      </c>
      <c r="E724" s="569">
        <v>90</v>
      </c>
    </row>
    <row r="725" spans="1:5">
      <c r="A725" s="538" t="str">
        <f t="shared" si="17"/>
        <v>DNV-TRCA - 95</v>
      </c>
      <c r="E725" s="569">
        <v>95</v>
      </c>
    </row>
    <row r="726" spans="1:5">
      <c r="A726" s="538" t="str">
        <f t="shared" si="17"/>
        <v>DNV-TRCA - 100</v>
      </c>
      <c r="E726" s="569">
        <v>100</v>
      </c>
    </row>
    <row r="727" spans="1:5">
      <c r="A727" s="538" t="str">
        <f t="shared" si="17"/>
        <v>DNV-TRCA - 105</v>
      </c>
      <c r="E727" s="569">
        <v>105</v>
      </c>
    </row>
    <row r="728" spans="1:5">
      <c r="A728" s="538" t="str">
        <f t="shared" si="17"/>
        <v>DNV-TRCA - 110</v>
      </c>
      <c r="E728" s="569">
        <v>110</v>
      </c>
    </row>
    <row r="729" spans="1:5">
      <c r="A729" s="538" t="str">
        <f t="shared" si="17"/>
        <v>DNV-TRCA - 120</v>
      </c>
      <c r="E729" s="569">
        <v>120</v>
      </c>
    </row>
    <row r="730" spans="1:5">
      <c r="A730" s="538" t="str">
        <f t="shared" si="17"/>
        <v>DNV-TRCA - 130</v>
      </c>
      <c r="E730" s="569">
        <v>130</v>
      </c>
    </row>
    <row r="731" spans="1:5">
      <c r="A731" s="538" t="str">
        <f t="shared" si="17"/>
        <v>DNV-TRCA - 140</v>
      </c>
      <c r="E731" s="569">
        <v>140</v>
      </c>
    </row>
    <row r="732" spans="1:5">
      <c r="A732" s="538" t="str">
        <f t="shared" si="17"/>
        <v>DNV-TRCA - 150</v>
      </c>
      <c r="E732" s="569">
        <v>150</v>
      </c>
    </row>
    <row r="733" spans="1:5">
      <c r="A733" s="538" t="str">
        <f t="shared" si="17"/>
        <v>DNV-TRCA - 160</v>
      </c>
      <c r="E733" s="569">
        <v>160</v>
      </c>
    </row>
    <row r="734" spans="1:5">
      <c r="A734" s="538" t="str">
        <f t="shared" si="17"/>
        <v>DNV-TRCA - 170</v>
      </c>
      <c r="E734" s="569">
        <v>170</v>
      </c>
    </row>
    <row r="735" spans="1:5">
      <c r="A735" s="538" t="str">
        <f t="shared" si="17"/>
        <v>DNV-TRCA - 180</v>
      </c>
      <c r="E735" s="569">
        <v>180</v>
      </c>
    </row>
    <row r="736" spans="1:5">
      <c r="A736" s="538" t="str">
        <f t="shared" si="17"/>
        <v>DNV-TRCA - 200</v>
      </c>
      <c r="E736" s="569">
        <v>200</v>
      </c>
    </row>
    <row r="737" spans="1:5">
      <c r="A737" s="538" t="str">
        <f t="shared" si="17"/>
        <v>DNV-TRCA - 225</v>
      </c>
      <c r="E737" s="569">
        <v>225</v>
      </c>
    </row>
    <row r="738" spans="1:5">
      <c r="A738" s="538" t="str">
        <f t="shared" si="17"/>
        <v>DNV-TRCA - 250</v>
      </c>
      <c r="E738" s="569">
        <v>250</v>
      </c>
    </row>
    <row r="739" spans="1:5">
      <c r="A739" s="538" t="str">
        <f t="shared" si="17"/>
        <v>DNV-TRCA - 275</v>
      </c>
      <c r="E739" s="569">
        <v>275</v>
      </c>
    </row>
    <row r="740" spans="1:5">
      <c r="A740" s="538" t="str">
        <f t="shared" si="17"/>
        <v>DNV-TRCA - 300</v>
      </c>
      <c r="E740" s="569">
        <v>300</v>
      </c>
    </row>
    <row r="741" spans="1:5">
      <c r="A741" s="538" t="str">
        <f t="shared" si="17"/>
        <v>DNV-TRCA - 325</v>
      </c>
      <c r="E741" s="569">
        <v>325</v>
      </c>
    </row>
    <row r="742" spans="1:5">
      <c r="A742" s="538" t="str">
        <f t="shared" si="17"/>
        <v>DNV-TRCA - 350</v>
      </c>
      <c r="E742" s="569">
        <v>350</v>
      </c>
    </row>
    <row r="743" spans="1:5">
      <c r="A743" s="538" t="str">
        <f t="shared" si="17"/>
        <v>DNV-TRCA - 375</v>
      </c>
      <c r="E743" s="569">
        <v>375</v>
      </c>
    </row>
    <row r="744" spans="1:5">
      <c r="A744" s="538" t="str">
        <f t="shared" si="17"/>
        <v>DNV-TRCA - 400</v>
      </c>
      <c r="E744" s="569">
        <v>400</v>
      </c>
    </row>
    <row r="745" spans="1:5">
      <c r="A745" s="538" t="str">
        <f t="shared" si="17"/>
        <v>DNV-TRCA - 425</v>
      </c>
      <c r="E745" s="569">
        <v>425</v>
      </c>
    </row>
    <row r="746" spans="1:5">
      <c r="A746" s="538" t="str">
        <f t="shared" si="17"/>
        <v>DNV-TRCA - 450</v>
      </c>
      <c r="E746" s="569">
        <v>450</v>
      </c>
    </row>
    <row r="747" spans="1:5">
      <c r="A747" s="538" t="str">
        <f t="shared" si="17"/>
        <v>DNV-TRCA - 475</v>
      </c>
      <c r="E747" s="569">
        <v>475</v>
      </c>
    </row>
    <row r="748" spans="1:5">
      <c r="A748" s="538" t="str">
        <f t="shared" si="17"/>
        <v>DNV-TRCA - 500</v>
      </c>
      <c r="E748" s="569">
        <v>500</v>
      </c>
    </row>
    <row r="749" spans="1:5">
      <c r="A749" s="538" t="str">
        <f t="shared" si="17"/>
        <v>DNV-TRCA - 600</v>
      </c>
      <c r="E749" s="569">
        <v>600</v>
      </c>
    </row>
    <row r="750" spans="1:5">
      <c r="A750" s="538" t="str">
        <f t="shared" si="17"/>
        <v>DNV-TRCA - 800</v>
      </c>
      <c r="E750" s="569">
        <v>800</v>
      </c>
    </row>
    <row r="751" spans="1:5">
      <c r="A751" s="538" t="str">
        <f t="shared" si="17"/>
        <v>DNV-TRCA - 1000</v>
      </c>
      <c r="E751" s="569">
        <v>1000</v>
      </c>
    </row>
    <row r="756" spans="1:7">
      <c r="A756" s="541"/>
      <c r="B756" s="536" t="s">
        <v>1868</v>
      </c>
    </row>
    <row r="758" spans="1:7">
      <c r="B758" s="538" t="s">
        <v>41</v>
      </c>
      <c r="C758" s="538" t="s">
        <v>846</v>
      </c>
    </row>
    <row r="759" spans="1:7">
      <c r="A759" s="538" t="str">
        <f>CONCATENATE("IIEE-SJ - ",B759)</f>
        <v>IIEE-SJ - 1</v>
      </c>
      <c r="B759" s="538">
        <v>1</v>
      </c>
      <c r="E759" s="537" t="s">
        <v>847</v>
      </c>
      <c r="F759" s="537" t="s">
        <v>2039</v>
      </c>
    </row>
    <row r="760" spans="1:7">
      <c r="A760" s="538" t="s">
        <v>904</v>
      </c>
      <c r="B760" s="538">
        <v>101000</v>
      </c>
      <c r="E760" s="537" t="s">
        <v>714</v>
      </c>
      <c r="G760" s="570"/>
    </row>
    <row r="761" spans="1:7">
      <c r="A761" s="538" t="s">
        <v>903</v>
      </c>
      <c r="B761" s="538">
        <v>102000</v>
      </c>
      <c r="E761" s="537" t="s">
        <v>715</v>
      </c>
      <c r="G761" s="570"/>
    </row>
    <row r="762" spans="1:7">
      <c r="A762" s="538" t="s">
        <v>901</v>
      </c>
      <c r="B762" s="538">
        <v>103000</v>
      </c>
      <c r="E762" s="537" t="s">
        <v>716</v>
      </c>
      <c r="G762" s="570"/>
    </row>
    <row r="763" spans="1:7">
      <c r="A763" s="538"/>
    </row>
    <row r="764" spans="1:7">
      <c r="A764" s="538" t="s">
        <v>1869</v>
      </c>
      <c r="B764" s="538">
        <v>2</v>
      </c>
      <c r="E764" s="537" t="s">
        <v>848</v>
      </c>
    </row>
    <row r="765" spans="1:7">
      <c r="A765" s="538"/>
    </row>
    <row r="766" spans="1:7">
      <c r="A766" s="538" t="s">
        <v>1870</v>
      </c>
      <c r="B766" s="538">
        <v>201</v>
      </c>
      <c r="E766" s="537" t="s">
        <v>849</v>
      </c>
      <c r="F766" s="537" t="s">
        <v>2040</v>
      </c>
    </row>
    <row r="767" spans="1:7">
      <c r="A767" s="538" t="s">
        <v>1871</v>
      </c>
      <c r="B767" s="538">
        <v>201001</v>
      </c>
      <c r="E767" s="537" t="s">
        <v>578</v>
      </c>
    </row>
    <row r="768" spans="1:7">
      <c r="A768" s="538" t="s">
        <v>1872</v>
      </c>
      <c r="B768" s="538">
        <v>201002</v>
      </c>
      <c r="E768" s="537" t="s">
        <v>579</v>
      </c>
    </row>
    <row r="769" spans="1:6">
      <c r="A769" s="538" t="s">
        <v>1873</v>
      </c>
      <c r="B769" s="538">
        <v>201003</v>
      </c>
      <c r="E769" s="537" t="s">
        <v>580</v>
      </c>
    </row>
    <row r="770" spans="1:6">
      <c r="A770" s="543" t="s">
        <v>1874</v>
      </c>
      <c r="B770" s="543">
        <v>201004</v>
      </c>
      <c r="C770" s="543"/>
      <c r="D770" s="543"/>
      <c r="E770" s="544" t="s">
        <v>703</v>
      </c>
      <c r="F770" s="537" t="s">
        <v>2038</v>
      </c>
    </row>
    <row r="771" spans="1:6">
      <c r="A771" s="538"/>
    </row>
    <row r="772" spans="1:6">
      <c r="A772" s="538" t="s">
        <v>1875</v>
      </c>
      <c r="B772" s="538">
        <v>202</v>
      </c>
      <c r="E772" s="537" t="s">
        <v>850</v>
      </c>
      <c r="F772" s="537" t="s">
        <v>2040</v>
      </c>
    </row>
    <row r="773" spans="1:6">
      <c r="A773" s="538" t="s">
        <v>1876</v>
      </c>
      <c r="B773" s="538">
        <v>202001</v>
      </c>
      <c r="E773" s="537" t="s">
        <v>581</v>
      </c>
    </row>
    <row r="774" spans="1:6">
      <c r="A774" s="538" t="s">
        <v>1877</v>
      </c>
      <c r="B774" s="538">
        <v>202002</v>
      </c>
      <c r="E774" s="537" t="s">
        <v>582</v>
      </c>
    </row>
    <row r="775" spans="1:6">
      <c r="A775" s="538" t="s">
        <v>1878</v>
      </c>
      <c r="B775" s="538">
        <v>202003</v>
      </c>
      <c r="E775" s="537" t="s">
        <v>583</v>
      </c>
    </row>
    <row r="776" spans="1:6">
      <c r="A776" s="543" t="s">
        <v>1879</v>
      </c>
      <c r="B776" s="543">
        <v>202004</v>
      </c>
      <c r="C776" s="543"/>
      <c r="D776" s="543"/>
      <c r="E776" s="544" t="s">
        <v>676</v>
      </c>
      <c r="F776" s="537" t="s">
        <v>2038</v>
      </c>
    </row>
    <row r="777" spans="1:6">
      <c r="A777" s="538"/>
    </row>
    <row r="778" spans="1:6">
      <c r="A778" s="538" t="s">
        <v>1880</v>
      </c>
      <c r="B778" s="538">
        <v>203</v>
      </c>
      <c r="E778" s="537" t="s">
        <v>851</v>
      </c>
      <c r="F778" s="537" t="s">
        <v>2040</v>
      </c>
    </row>
    <row r="779" spans="1:6">
      <c r="A779" s="538" t="s">
        <v>926</v>
      </c>
      <c r="B779" s="538">
        <v>203001</v>
      </c>
      <c r="E779" s="537" t="s">
        <v>852</v>
      </c>
    </row>
    <row r="780" spans="1:6">
      <c r="A780" s="538" t="s">
        <v>925</v>
      </c>
      <c r="B780" s="538">
        <v>203002</v>
      </c>
      <c r="E780" s="537" t="s">
        <v>706</v>
      </c>
    </row>
    <row r="781" spans="1:6">
      <c r="A781" s="538"/>
    </row>
    <row r="782" spans="1:6">
      <c r="A782" s="538" t="s">
        <v>1881</v>
      </c>
      <c r="B782" s="538">
        <v>204</v>
      </c>
      <c r="E782" s="537" t="s">
        <v>853</v>
      </c>
      <c r="F782" s="537" t="s">
        <v>2040</v>
      </c>
    </row>
    <row r="783" spans="1:6">
      <c r="A783" s="538" t="s">
        <v>1882</v>
      </c>
      <c r="B783" s="538">
        <v>204001</v>
      </c>
      <c r="E783" s="17" t="s">
        <v>854</v>
      </c>
    </row>
    <row r="784" spans="1:6">
      <c r="A784" s="538" t="s">
        <v>1883</v>
      </c>
      <c r="B784" s="538">
        <v>204002</v>
      </c>
      <c r="E784" s="17" t="s">
        <v>855</v>
      </c>
    </row>
    <row r="785" spans="1:6">
      <c r="A785" s="538" t="s">
        <v>1884</v>
      </c>
      <c r="B785" s="538">
        <v>204003</v>
      </c>
      <c r="E785" s="17" t="s">
        <v>856</v>
      </c>
    </row>
    <row r="786" spans="1:6">
      <c r="A786" s="543" t="s">
        <v>1885</v>
      </c>
      <c r="B786" s="543">
        <v>204004</v>
      </c>
      <c r="C786" s="543"/>
      <c r="D786" s="543"/>
      <c r="E786" s="544" t="s">
        <v>686</v>
      </c>
      <c r="F786" s="537" t="s">
        <v>2038</v>
      </c>
    </row>
    <row r="787" spans="1:6">
      <c r="A787" s="543" t="s">
        <v>1886</v>
      </c>
      <c r="B787" s="543">
        <v>204005</v>
      </c>
      <c r="C787" s="543"/>
      <c r="D787" s="543"/>
      <c r="E787" s="544" t="s">
        <v>687</v>
      </c>
      <c r="F787" s="537" t="s">
        <v>2038</v>
      </c>
    </row>
    <row r="788" spans="1:6">
      <c r="A788" s="538"/>
    </row>
    <row r="789" spans="1:6">
      <c r="A789" s="538" t="s">
        <v>1887</v>
      </c>
      <c r="B789" s="538">
        <v>205</v>
      </c>
      <c r="E789" s="537" t="s">
        <v>857</v>
      </c>
      <c r="F789" s="537" t="s">
        <v>2040</v>
      </c>
    </row>
    <row r="790" spans="1:6">
      <c r="A790" s="538" t="s">
        <v>1888</v>
      </c>
      <c r="B790" s="538">
        <v>205001</v>
      </c>
      <c r="E790" s="537" t="s">
        <v>1889</v>
      </c>
    </row>
    <row r="791" spans="1:6">
      <c r="A791" s="538" t="s">
        <v>924</v>
      </c>
      <c r="B791" s="538">
        <v>205002</v>
      </c>
      <c r="E791" s="537" t="s">
        <v>1890</v>
      </c>
    </row>
    <row r="792" spans="1:6">
      <c r="A792" s="543" t="s">
        <v>1891</v>
      </c>
      <c r="B792" s="543">
        <v>205003</v>
      </c>
      <c r="C792" s="543"/>
      <c r="D792" s="543"/>
      <c r="E792" s="544" t="s">
        <v>684</v>
      </c>
      <c r="F792" s="537" t="s">
        <v>2038</v>
      </c>
    </row>
    <row r="793" spans="1:6">
      <c r="A793" s="543" t="s">
        <v>1892</v>
      </c>
      <c r="B793" s="543">
        <v>205004</v>
      </c>
      <c r="C793" s="543"/>
      <c r="D793" s="543"/>
      <c r="E793" s="544" t="s">
        <v>685</v>
      </c>
      <c r="F793" s="537" t="s">
        <v>2038</v>
      </c>
    </row>
    <row r="794" spans="1:6">
      <c r="A794" s="543" t="s">
        <v>1893</v>
      </c>
      <c r="B794" s="543">
        <v>205005</v>
      </c>
      <c r="C794" s="543"/>
      <c r="D794" s="543"/>
      <c r="E794" s="544" t="s">
        <v>683</v>
      </c>
      <c r="F794" s="537" t="s">
        <v>2038</v>
      </c>
    </row>
    <row r="795" spans="1:6">
      <c r="A795" s="538"/>
    </row>
    <row r="796" spans="1:6">
      <c r="A796" s="538" t="s">
        <v>1894</v>
      </c>
      <c r="B796" s="538">
        <v>206</v>
      </c>
      <c r="E796" s="537" t="s">
        <v>858</v>
      </c>
      <c r="F796" s="537" t="s">
        <v>2040</v>
      </c>
    </row>
    <row r="797" spans="1:6">
      <c r="A797" s="538" t="s">
        <v>1895</v>
      </c>
      <c r="B797" s="538">
        <v>206001</v>
      </c>
      <c r="E797" s="537" t="s">
        <v>859</v>
      </c>
    </row>
    <row r="798" spans="1:6">
      <c r="A798" s="538" t="s">
        <v>1896</v>
      </c>
      <c r="B798" s="538">
        <v>206002</v>
      </c>
      <c r="E798" s="537" t="s">
        <v>584</v>
      </c>
    </row>
    <row r="799" spans="1:6">
      <c r="A799" s="543" t="s">
        <v>1897</v>
      </c>
      <c r="B799" s="543">
        <v>206003</v>
      </c>
      <c r="C799" s="543"/>
      <c r="D799" s="543"/>
      <c r="E799" s="544" t="s">
        <v>677</v>
      </c>
      <c r="F799" s="537" t="s">
        <v>2038</v>
      </c>
    </row>
    <row r="800" spans="1:6">
      <c r="A800" s="543" t="s">
        <v>1898</v>
      </c>
      <c r="B800" s="543">
        <v>206004</v>
      </c>
      <c r="C800" s="543"/>
      <c r="D800" s="543"/>
      <c r="E800" s="544" t="s">
        <v>678</v>
      </c>
      <c r="F800" s="537" t="s">
        <v>2038</v>
      </c>
    </row>
    <row r="801" spans="1:6">
      <c r="A801" s="538"/>
    </row>
    <row r="802" spans="1:6">
      <c r="A802" s="538" t="s">
        <v>1899</v>
      </c>
      <c r="B802" s="538">
        <v>207</v>
      </c>
      <c r="E802" s="537" t="s">
        <v>860</v>
      </c>
      <c r="F802" s="537" t="s">
        <v>2040</v>
      </c>
    </row>
    <row r="803" spans="1:6">
      <c r="A803" s="538" t="s">
        <v>1900</v>
      </c>
      <c r="B803" s="538">
        <v>207001</v>
      </c>
      <c r="E803" s="537" t="s">
        <v>585</v>
      </c>
    </row>
    <row r="804" spans="1:6">
      <c r="A804" s="543" t="s">
        <v>1901</v>
      </c>
      <c r="B804" s="543">
        <v>207002</v>
      </c>
      <c r="C804" s="543"/>
      <c r="D804" s="543"/>
      <c r="E804" s="544" t="s">
        <v>861</v>
      </c>
      <c r="F804" s="537" t="s">
        <v>2038</v>
      </c>
    </row>
    <row r="805" spans="1:6">
      <c r="A805" s="543" t="s">
        <v>1902</v>
      </c>
      <c r="B805" s="543">
        <v>207003</v>
      </c>
      <c r="C805" s="543"/>
      <c r="D805" s="543"/>
      <c r="E805" s="544" t="s">
        <v>679</v>
      </c>
      <c r="F805" s="537" t="s">
        <v>2038</v>
      </c>
    </row>
    <row r="806" spans="1:6">
      <c r="A806" s="543" t="s">
        <v>1903</v>
      </c>
      <c r="B806" s="543">
        <v>207004</v>
      </c>
      <c r="C806" s="543"/>
      <c r="D806" s="543"/>
      <c r="E806" s="544" t="s">
        <v>682</v>
      </c>
      <c r="F806" s="537" t="s">
        <v>2038</v>
      </c>
    </row>
    <row r="807" spans="1:6">
      <c r="A807" s="538"/>
    </row>
    <row r="808" spans="1:6">
      <c r="A808" s="538" t="s">
        <v>1904</v>
      </c>
      <c r="B808" s="538">
        <v>208</v>
      </c>
      <c r="E808" s="537" t="s">
        <v>862</v>
      </c>
      <c r="F808" s="537" t="s">
        <v>2040</v>
      </c>
    </row>
    <row r="809" spans="1:6">
      <c r="A809" s="538" t="s">
        <v>1905</v>
      </c>
      <c r="B809" s="538">
        <v>208001</v>
      </c>
      <c r="E809" s="537" t="s">
        <v>586</v>
      </c>
    </row>
    <row r="810" spans="1:6">
      <c r="A810" s="543" t="s">
        <v>1906</v>
      </c>
      <c r="B810" s="543">
        <v>208002</v>
      </c>
      <c r="C810" s="543"/>
      <c r="D810" s="543"/>
      <c r="E810" s="544" t="s">
        <v>863</v>
      </c>
      <c r="F810" s="537" t="s">
        <v>2038</v>
      </c>
    </row>
    <row r="811" spans="1:6">
      <c r="A811" s="538"/>
    </row>
    <row r="812" spans="1:6">
      <c r="A812" s="538" t="s">
        <v>1907</v>
      </c>
      <c r="B812" s="538">
        <v>209</v>
      </c>
      <c r="E812" s="537" t="s">
        <v>864</v>
      </c>
      <c r="F812" s="537" t="s">
        <v>2040</v>
      </c>
    </row>
    <row r="813" spans="1:6">
      <c r="A813" s="538" t="s">
        <v>1908</v>
      </c>
      <c r="B813" s="538">
        <v>209001</v>
      </c>
      <c r="E813" s="537" t="s">
        <v>587</v>
      </c>
    </row>
    <row r="814" spans="1:6">
      <c r="A814" s="538" t="s">
        <v>1909</v>
      </c>
      <c r="B814" s="538">
        <v>209002</v>
      </c>
      <c r="E814" s="537" t="s">
        <v>588</v>
      </c>
    </row>
    <row r="815" spans="1:6">
      <c r="A815" s="538" t="s">
        <v>1910</v>
      </c>
      <c r="B815" s="538">
        <v>209003</v>
      </c>
      <c r="E815" s="537" t="s">
        <v>589</v>
      </c>
    </row>
    <row r="816" spans="1:6">
      <c r="A816" s="538" t="s">
        <v>1911</v>
      </c>
      <c r="B816" s="538">
        <v>209004</v>
      </c>
      <c r="E816" s="537" t="s">
        <v>590</v>
      </c>
    </row>
    <row r="817" spans="1:6">
      <c r="A817" s="543" t="s">
        <v>1912</v>
      </c>
      <c r="B817" s="543">
        <v>209005</v>
      </c>
      <c r="C817" s="543"/>
      <c r="D817" s="543"/>
      <c r="E817" s="544" t="s">
        <v>689</v>
      </c>
      <c r="F817" s="537" t="s">
        <v>2038</v>
      </c>
    </row>
    <row r="818" spans="1:6">
      <c r="A818" s="543" t="s">
        <v>1913</v>
      </c>
      <c r="B818" s="543">
        <v>209006</v>
      </c>
      <c r="C818" s="543"/>
      <c r="D818" s="543"/>
      <c r="E818" s="544" t="s">
        <v>690</v>
      </c>
      <c r="F818" s="537" t="s">
        <v>2038</v>
      </c>
    </row>
    <row r="819" spans="1:6">
      <c r="A819" s="543" t="s">
        <v>1914</v>
      </c>
      <c r="B819" s="543">
        <v>209007</v>
      </c>
      <c r="C819" s="543"/>
      <c r="D819" s="543"/>
      <c r="E819" s="544" t="s">
        <v>691</v>
      </c>
      <c r="F819" s="537" t="s">
        <v>2038</v>
      </c>
    </row>
    <row r="820" spans="1:6">
      <c r="A820" s="538"/>
    </row>
    <row r="821" spans="1:6">
      <c r="A821" s="538" t="s">
        <v>1915</v>
      </c>
      <c r="B821" s="538">
        <v>210</v>
      </c>
      <c r="E821" s="537" t="s">
        <v>865</v>
      </c>
      <c r="F821" s="537" t="s">
        <v>2040</v>
      </c>
    </row>
    <row r="822" spans="1:6">
      <c r="A822" s="538" t="s">
        <v>1916</v>
      </c>
      <c r="B822" s="538">
        <v>210001</v>
      </c>
      <c r="E822" s="537" t="s">
        <v>591</v>
      </c>
    </row>
    <row r="823" spans="1:6">
      <c r="A823" s="538" t="s">
        <v>1917</v>
      </c>
      <c r="B823" s="538">
        <v>210002</v>
      </c>
      <c r="E823" s="537" t="s">
        <v>592</v>
      </c>
    </row>
    <row r="824" spans="1:6">
      <c r="A824" s="538" t="s">
        <v>1918</v>
      </c>
      <c r="B824" s="538">
        <v>210003</v>
      </c>
      <c r="E824" s="537" t="s">
        <v>593</v>
      </c>
    </row>
    <row r="825" spans="1:6">
      <c r="A825" s="538" t="s">
        <v>1919</v>
      </c>
      <c r="B825" s="538">
        <v>210004</v>
      </c>
      <c r="E825" s="537" t="s">
        <v>594</v>
      </c>
    </row>
    <row r="826" spans="1:6">
      <c r="A826" s="538" t="s">
        <v>1920</v>
      </c>
      <c r="B826" s="538">
        <v>210005</v>
      </c>
      <c r="E826" s="537" t="s">
        <v>595</v>
      </c>
    </row>
    <row r="827" spans="1:6">
      <c r="A827" s="538" t="s">
        <v>1921</v>
      </c>
      <c r="B827" s="538">
        <v>210006</v>
      </c>
      <c r="E827" s="537" t="s">
        <v>596</v>
      </c>
    </row>
    <row r="828" spans="1:6">
      <c r="A828" s="538" t="s">
        <v>1922</v>
      </c>
      <c r="B828" s="538">
        <v>210007</v>
      </c>
      <c r="E828" s="537" t="s">
        <v>597</v>
      </c>
    </row>
    <row r="829" spans="1:6">
      <c r="A829" s="538" t="s">
        <v>1923</v>
      </c>
      <c r="B829" s="538">
        <v>210008</v>
      </c>
      <c r="E829" s="537" t="s">
        <v>598</v>
      </c>
    </row>
    <row r="830" spans="1:6">
      <c r="A830" s="538"/>
    </row>
    <row r="831" spans="1:6">
      <c r="A831" s="538" t="s">
        <v>1924</v>
      </c>
      <c r="B831" s="538">
        <v>211</v>
      </c>
      <c r="E831" s="537" t="s">
        <v>866</v>
      </c>
      <c r="F831" s="537" t="s">
        <v>2040</v>
      </c>
    </row>
    <row r="832" spans="1:6">
      <c r="A832" s="538" t="s">
        <v>1925</v>
      </c>
      <c r="B832" s="538">
        <v>211001</v>
      </c>
      <c r="E832" s="537" t="s">
        <v>599</v>
      </c>
    </row>
    <row r="833" spans="1:6">
      <c r="A833" s="538" t="s">
        <v>1926</v>
      </c>
      <c r="B833" s="538">
        <v>211002</v>
      </c>
      <c r="E833" s="537" t="s">
        <v>600</v>
      </c>
    </row>
    <row r="834" spans="1:6">
      <c r="A834" s="538" t="s">
        <v>1927</v>
      </c>
      <c r="B834" s="538">
        <v>211003</v>
      </c>
      <c r="E834" s="537" t="s">
        <v>601</v>
      </c>
    </row>
    <row r="835" spans="1:6">
      <c r="A835" s="538" t="s">
        <v>1928</v>
      </c>
      <c r="B835" s="538">
        <v>211004</v>
      </c>
      <c r="E835" s="537" t="s">
        <v>602</v>
      </c>
    </row>
    <row r="836" spans="1:6">
      <c r="A836" s="538" t="s">
        <v>1929</v>
      </c>
      <c r="B836" s="538">
        <v>211005</v>
      </c>
      <c r="E836" s="537" t="s">
        <v>603</v>
      </c>
    </row>
    <row r="837" spans="1:6">
      <c r="A837" s="543" t="s">
        <v>1930</v>
      </c>
      <c r="B837" s="543">
        <v>211006</v>
      </c>
      <c r="C837" s="543"/>
      <c r="D837" s="543"/>
      <c r="E837" s="544" t="s">
        <v>704</v>
      </c>
      <c r="F837" s="537" t="s">
        <v>2038</v>
      </c>
    </row>
    <row r="838" spans="1:6">
      <c r="A838" s="543" t="s">
        <v>1931</v>
      </c>
      <c r="B838" s="543">
        <v>211007</v>
      </c>
      <c r="C838" s="543"/>
      <c r="D838" s="543"/>
      <c r="E838" s="544" t="s">
        <v>705</v>
      </c>
      <c r="F838" s="537" t="s">
        <v>2038</v>
      </c>
    </row>
    <row r="839" spans="1:6">
      <c r="A839" s="543" t="s">
        <v>1932</v>
      </c>
      <c r="B839" s="543">
        <v>211008</v>
      </c>
      <c r="C839" s="543"/>
      <c r="D839" s="543"/>
      <c r="E839" s="544" t="s">
        <v>867</v>
      </c>
      <c r="F839" s="537" t="s">
        <v>2038</v>
      </c>
    </row>
    <row r="840" spans="1:6">
      <c r="A840" s="543" t="s">
        <v>1933</v>
      </c>
      <c r="B840" s="543">
        <v>211009</v>
      </c>
      <c r="C840" s="543"/>
      <c r="D840" s="543"/>
      <c r="E840" s="544" t="s">
        <v>868</v>
      </c>
      <c r="F840" s="537" t="s">
        <v>2038</v>
      </c>
    </row>
    <row r="841" spans="1:6">
      <c r="A841" s="538"/>
    </row>
    <row r="842" spans="1:6">
      <c r="A842" s="538" t="s">
        <v>1934</v>
      </c>
      <c r="B842" s="538">
        <v>212</v>
      </c>
      <c r="E842" s="537" t="s">
        <v>869</v>
      </c>
      <c r="F842" s="537" t="s">
        <v>2040</v>
      </c>
    </row>
    <row r="843" spans="1:6">
      <c r="A843" s="538" t="s">
        <v>1935</v>
      </c>
      <c r="B843" s="538">
        <v>212001</v>
      </c>
      <c r="E843" s="537" t="s">
        <v>604</v>
      </c>
    </row>
    <row r="844" spans="1:6">
      <c r="A844" s="538" t="s">
        <v>1936</v>
      </c>
      <c r="B844" s="538">
        <v>212002</v>
      </c>
      <c r="E844" s="537" t="s">
        <v>605</v>
      </c>
    </row>
    <row r="845" spans="1:6">
      <c r="A845" s="543" t="s">
        <v>1937</v>
      </c>
      <c r="B845" s="543">
        <v>212003</v>
      </c>
      <c r="C845" s="543"/>
      <c r="D845" s="543"/>
      <c r="E845" s="544" t="s">
        <v>606</v>
      </c>
      <c r="F845" s="537" t="s">
        <v>2038</v>
      </c>
    </row>
    <row r="846" spans="1:6">
      <c r="A846" s="538" t="s">
        <v>1938</v>
      </c>
      <c r="B846" s="538">
        <v>212004</v>
      </c>
      <c r="E846" s="537" t="s">
        <v>607</v>
      </c>
    </row>
    <row r="847" spans="1:6">
      <c r="A847" s="538"/>
    </row>
    <row r="848" spans="1:6">
      <c r="A848" s="538" t="s">
        <v>1939</v>
      </c>
      <c r="B848" s="538">
        <v>213</v>
      </c>
      <c r="E848" s="537" t="s">
        <v>870</v>
      </c>
      <c r="F848" s="537" t="s">
        <v>2040</v>
      </c>
    </row>
    <row r="849" spans="1:6">
      <c r="A849" s="538" t="s">
        <v>1940</v>
      </c>
      <c r="B849" s="538">
        <v>213001</v>
      </c>
      <c r="E849" s="537" t="s">
        <v>608</v>
      </c>
    </row>
    <row r="850" spans="1:6">
      <c r="A850" s="538" t="s">
        <v>1941</v>
      </c>
      <c r="B850" s="538">
        <v>213002</v>
      </c>
      <c r="E850" s="537" t="s">
        <v>609</v>
      </c>
    </row>
    <row r="851" spans="1:6">
      <c r="A851" s="538" t="s">
        <v>1942</v>
      </c>
      <c r="B851" s="538">
        <v>213003</v>
      </c>
      <c r="E851" s="537" t="s">
        <v>610</v>
      </c>
    </row>
    <row r="852" spans="1:6">
      <c r="A852" s="538" t="s">
        <v>1943</v>
      </c>
      <c r="B852" s="538">
        <v>213004</v>
      </c>
      <c r="E852" s="537" t="s">
        <v>611</v>
      </c>
    </row>
    <row r="853" spans="1:6">
      <c r="A853" s="538" t="s">
        <v>1944</v>
      </c>
      <c r="B853" s="538">
        <v>213005</v>
      </c>
      <c r="E853" s="537" t="s">
        <v>612</v>
      </c>
    </row>
    <row r="854" spans="1:6">
      <c r="A854" s="538" t="s">
        <v>1945</v>
      </c>
      <c r="B854" s="538">
        <v>213006</v>
      </c>
      <c r="E854" s="537" t="s">
        <v>613</v>
      </c>
    </row>
    <row r="855" spans="1:6">
      <c r="A855" s="538" t="s">
        <v>1946</v>
      </c>
      <c r="B855" s="538">
        <v>213007</v>
      </c>
      <c r="E855" s="537" t="s">
        <v>614</v>
      </c>
    </row>
    <row r="856" spans="1:6">
      <c r="A856" s="538" t="s">
        <v>1947</v>
      </c>
      <c r="B856" s="538">
        <v>213008</v>
      </c>
      <c r="E856" s="537" t="s">
        <v>615</v>
      </c>
    </row>
    <row r="857" spans="1:6">
      <c r="A857" s="538"/>
    </row>
    <row r="858" spans="1:6">
      <c r="A858" s="538" t="s">
        <v>1948</v>
      </c>
      <c r="B858" s="538">
        <v>214</v>
      </c>
      <c r="E858" s="537" t="s">
        <v>871</v>
      </c>
      <c r="F858" s="537" t="s">
        <v>2040</v>
      </c>
    </row>
    <row r="859" spans="1:6">
      <c r="A859" s="538" t="s">
        <v>1949</v>
      </c>
      <c r="B859" s="538">
        <v>214001</v>
      </c>
      <c r="E859" s="537" t="s">
        <v>616</v>
      </c>
    </row>
    <row r="860" spans="1:6">
      <c r="A860" s="538" t="s">
        <v>1629</v>
      </c>
      <c r="B860" s="538">
        <v>214002</v>
      </c>
      <c r="E860" s="537" t="s">
        <v>617</v>
      </c>
    </row>
    <row r="861" spans="1:6">
      <c r="A861" s="538" t="s">
        <v>1950</v>
      </c>
      <c r="B861" s="538">
        <v>214003</v>
      </c>
      <c r="E861" s="537" t="s">
        <v>618</v>
      </c>
    </row>
    <row r="862" spans="1:6">
      <c r="A862" s="538" t="s">
        <v>1643</v>
      </c>
      <c r="B862" s="538">
        <v>214004</v>
      </c>
      <c r="E862" s="537" t="s">
        <v>619</v>
      </c>
    </row>
    <row r="863" spans="1:6">
      <c r="A863" s="538" t="s">
        <v>1951</v>
      </c>
      <c r="B863" s="538">
        <v>214005</v>
      </c>
      <c r="E863" s="537" t="s">
        <v>620</v>
      </c>
    </row>
    <row r="864" spans="1:6">
      <c r="A864" s="538" t="s">
        <v>1660</v>
      </c>
      <c r="B864" s="538">
        <v>214006</v>
      </c>
      <c r="E864" s="537" t="s">
        <v>621</v>
      </c>
    </row>
    <row r="865" spans="1:6">
      <c r="A865" s="538"/>
    </row>
    <row r="866" spans="1:6">
      <c r="A866" s="538" t="s">
        <v>1952</v>
      </c>
      <c r="B866" s="538">
        <v>215</v>
      </c>
      <c r="E866" s="537" t="s">
        <v>872</v>
      </c>
      <c r="F866" s="537" t="s">
        <v>2040</v>
      </c>
    </row>
    <row r="867" spans="1:6">
      <c r="A867" s="543" t="s">
        <v>1953</v>
      </c>
      <c r="B867" s="543">
        <v>215001</v>
      </c>
      <c r="C867" s="543"/>
      <c r="D867" s="543"/>
      <c r="E867" s="544" t="s">
        <v>622</v>
      </c>
      <c r="F867" s="537" t="s">
        <v>2038</v>
      </c>
    </row>
    <row r="868" spans="1:6">
      <c r="A868" s="543" t="s">
        <v>1954</v>
      </c>
      <c r="B868" s="543">
        <v>215002</v>
      </c>
      <c r="C868" s="543"/>
      <c r="D868" s="543"/>
      <c r="E868" s="544" t="s">
        <v>623</v>
      </c>
      <c r="F868" s="537" t="s">
        <v>2038</v>
      </c>
    </row>
    <row r="869" spans="1:6">
      <c r="A869" s="543" t="s">
        <v>1955</v>
      </c>
      <c r="B869" s="543">
        <v>215003</v>
      </c>
      <c r="C869" s="543"/>
      <c r="D869" s="543"/>
      <c r="E869" s="544" t="s">
        <v>624</v>
      </c>
      <c r="F869" s="537" t="s">
        <v>2038</v>
      </c>
    </row>
    <row r="870" spans="1:6">
      <c r="A870" s="538" t="s">
        <v>1956</v>
      </c>
      <c r="B870" s="538">
        <v>215004</v>
      </c>
      <c r="E870" s="537" t="s">
        <v>625</v>
      </c>
    </row>
    <row r="871" spans="1:6">
      <c r="A871" s="538" t="s">
        <v>1957</v>
      </c>
      <c r="B871" s="538">
        <v>215005</v>
      </c>
      <c r="E871" s="537" t="s">
        <v>626</v>
      </c>
    </row>
    <row r="872" spans="1:6">
      <c r="A872" s="538" t="s">
        <v>1958</v>
      </c>
      <c r="B872" s="538">
        <v>215006</v>
      </c>
      <c r="E872" s="537" t="s">
        <v>627</v>
      </c>
    </row>
    <row r="873" spans="1:6">
      <c r="A873" s="538"/>
    </row>
    <row r="874" spans="1:6">
      <c r="A874" s="538" t="s">
        <v>1959</v>
      </c>
      <c r="B874" s="538">
        <v>216</v>
      </c>
      <c r="E874" s="537" t="s">
        <v>873</v>
      </c>
      <c r="F874" s="537" t="s">
        <v>2040</v>
      </c>
    </row>
    <row r="875" spans="1:6">
      <c r="A875" s="538" t="s">
        <v>1960</v>
      </c>
      <c r="B875" s="538">
        <v>216001</v>
      </c>
      <c r="E875" s="537" t="s">
        <v>628</v>
      </c>
    </row>
    <row r="876" spans="1:6">
      <c r="A876" s="538" t="s">
        <v>1961</v>
      </c>
      <c r="B876" s="538">
        <v>216002</v>
      </c>
      <c r="E876" s="537" t="s">
        <v>629</v>
      </c>
    </row>
    <row r="877" spans="1:6">
      <c r="A877" s="538" t="s">
        <v>1962</v>
      </c>
      <c r="B877" s="538">
        <v>216003</v>
      </c>
      <c r="E877" s="537" t="s">
        <v>630</v>
      </c>
    </row>
    <row r="878" spans="1:6">
      <c r="A878" s="538" t="s">
        <v>1963</v>
      </c>
      <c r="B878" s="538">
        <v>216004</v>
      </c>
      <c r="E878" s="537" t="s">
        <v>631</v>
      </c>
    </row>
    <row r="879" spans="1:6">
      <c r="A879" s="538" t="s">
        <v>1964</v>
      </c>
      <c r="B879" s="538">
        <v>216005</v>
      </c>
      <c r="E879" s="537" t="s">
        <v>632</v>
      </c>
    </row>
    <row r="880" spans="1:6">
      <c r="A880" s="538"/>
    </row>
    <row r="881" spans="1:6">
      <c r="A881" s="538" t="s">
        <v>1965</v>
      </c>
      <c r="B881" s="538">
        <v>217</v>
      </c>
      <c r="E881" s="537" t="s">
        <v>874</v>
      </c>
      <c r="F881" s="537" t="s">
        <v>2040</v>
      </c>
    </row>
    <row r="882" spans="1:6">
      <c r="A882" s="538" t="s">
        <v>1966</v>
      </c>
      <c r="B882" s="538">
        <v>217001</v>
      </c>
      <c r="E882" s="537" t="s">
        <v>633</v>
      </c>
    </row>
    <row r="883" spans="1:6">
      <c r="A883" s="538" t="s">
        <v>1967</v>
      </c>
      <c r="B883" s="538">
        <v>217002</v>
      </c>
      <c r="E883" s="537" t="s">
        <v>634</v>
      </c>
    </row>
    <row r="884" spans="1:6">
      <c r="A884" s="538"/>
    </row>
    <row r="885" spans="1:6">
      <c r="A885" s="538" t="s">
        <v>1968</v>
      </c>
      <c r="B885" s="538">
        <v>218</v>
      </c>
      <c r="E885" s="537" t="s">
        <v>825</v>
      </c>
      <c r="F885" s="537" t="s">
        <v>2040</v>
      </c>
    </row>
    <row r="886" spans="1:6">
      <c r="A886" s="538" t="s">
        <v>1969</v>
      </c>
      <c r="B886" s="538">
        <v>218001</v>
      </c>
      <c r="E886" s="537" t="s">
        <v>635</v>
      </c>
    </row>
    <row r="887" spans="1:6">
      <c r="A887" s="538" t="s">
        <v>1970</v>
      </c>
      <c r="B887" s="538">
        <v>218002</v>
      </c>
      <c r="E887" s="537" t="s">
        <v>636</v>
      </c>
    </row>
    <row r="888" spans="1:6">
      <c r="A888" s="538" t="s">
        <v>1971</v>
      </c>
      <c r="B888" s="538">
        <v>218003</v>
      </c>
      <c r="E888" s="537" t="s">
        <v>637</v>
      </c>
    </row>
    <row r="889" spans="1:6">
      <c r="A889" s="538"/>
    </row>
    <row r="890" spans="1:6">
      <c r="A890" s="538" t="s">
        <v>1972</v>
      </c>
      <c r="B890" s="538">
        <v>219</v>
      </c>
      <c r="E890" s="537" t="s">
        <v>875</v>
      </c>
      <c r="F890" s="537" t="s">
        <v>2040</v>
      </c>
    </row>
    <row r="891" spans="1:6">
      <c r="A891" s="538" t="s">
        <v>1973</v>
      </c>
      <c r="B891" s="538">
        <v>219001</v>
      </c>
      <c r="E891" s="537" t="s">
        <v>876</v>
      </c>
    </row>
    <row r="892" spans="1:6">
      <c r="A892" s="538" t="s">
        <v>1974</v>
      </c>
      <c r="B892" s="538">
        <v>219002</v>
      </c>
      <c r="E892" s="537" t="s">
        <v>877</v>
      </c>
    </row>
    <row r="893" spans="1:6">
      <c r="A893" s="538" t="s">
        <v>1975</v>
      </c>
      <c r="B893" s="538">
        <v>219003</v>
      </c>
      <c r="E893" s="537" t="s">
        <v>878</v>
      </c>
    </row>
    <row r="894" spans="1:6">
      <c r="A894" s="538" t="s">
        <v>1976</v>
      </c>
      <c r="B894" s="538">
        <v>219004</v>
      </c>
      <c r="E894" s="537" t="s">
        <v>879</v>
      </c>
    </row>
    <row r="895" spans="1:6">
      <c r="A895" s="538" t="s">
        <v>1977</v>
      </c>
      <c r="B895" s="538">
        <v>219005</v>
      </c>
      <c r="E895" s="537" t="s">
        <v>880</v>
      </c>
    </row>
    <row r="896" spans="1:6">
      <c r="A896" s="538"/>
    </row>
    <row r="897" spans="1:6">
      <c r="A897" s="538" t="s">
        <v>1978</v>
      </c>
      <c r="B897" s="538">
        <v>220</v>
      </c>
      <c r="E897" s="537" t="s">
        <v>881</v>
      </c>
      <c r="F897" s="537" t="s">
        <v>2040</v>
      </c>
    </row>
    <row r="898" spans="1:6">
      <c r="A898" s="543" t="s">
        <v>1979</v>
      </c>
      <c r="B898" s="543">
        <v>220001</v>
      </c>
      <c r="C898" s="543"/>
      <c r="D898" s="543"/>
      <c r="E898" s="544" t="s">
        <v>638</v>
      </c>
      <c r="F898" s="537" t="s">
        <v>2038</v>
      </c>
    </row>
    <row r="899" spans="1:6">
      <c r="A899" s="543" t="s">
        <v>1980</v>
      </c>
      <c r="B899" s="543">
        <v>220002</v>
      </c>
      <c r="C899" s="543"/>
      <c r="D899" s="543"/>
      <c r="E899" s="544" t="s">
        <v>639</v>
      </c>
      <c r="F899" s="537" t="s">
        <v>2038</v>
      </c>
    </row>
    <row r="900" spans="1:6">
      <c r="A900" s="543" t="s">
        <v>1981</v>
      </c>
      <c r="B900" s="543">
        <v>220003</v>
      </c>
      <c r="C900" s="543"/>
      <c r="D900" s="543"/>
      <c r="E900" s="544" t="s">
        <v>640</v>
      </c>
      <c r="F900" s="537" t="s">
        <v>2038</v>
      </c>
    </row>
    <row r="901" spans="1:6">
      <c r="A901" s="538" t="s">
        <v>1982</v>
      </c>
      <c r="B901" s="538">
        <v>220004</v>
      </c>
      <c r="E901" s="537" t="s">
        <v>641</v>
      </c>
    </row>
    <row r="902" spans="1:6">
      <c r="A902" s="538" t="s">
        <v>1983</v>
      </c>
      <c r="B902" s="538">
        <v>220005</v>
      </c>
      <c r="E902" s="537" t="s">
        <v>642</v>
      </c>
    </row>
    <row r="903" spans="1:6">
      <c r="A903" s="538" t="s">
        <v>1984</v>
      </c>
      <c r="B903" s="538">
        <v>220006</v>
      </c>
      <c r="E903" s="537" t="s">
        <v>643</v>
      </c>
    </row>
    <row r="904" spans="1:6">
      <c r="A904" s="538"/>
    </row>
    <row r="905" spans="1:6">
      <c r="A905" s="538" t="s">
        <v>1985</v>
      </c>
      <c r="B905" s="538">
        <v>221</v>
      </c>
      <c r="E905" s="537" t="s">
        <v>882</v>
      </c>
      <c r="F905" s="537" t="s">
        <v>2040</v>
      </c>
    </row>
    <row r="906" spans="1:6">
      <c r="A906" s="538" t="s">
        <v>1986</v>
      </c>
      <c r="B906" s="538">
        <v>221001</v>
      </c>
      <c r="E906" s="537" t="s">
        <v>644</v>
      </c>
    </row>
    <row r="907" spans="1:6">
      <c r="A907" s="538" t="s">
        <v>1987</v>
      </c>
      <c r="B907" s="538">
        <v>221002</v>
      </c>
      <c r="E907" s="537" t="s">
        <v>645</v>
      </c>
    </row>
    <row r="908" spans="1:6">
      <c r="A908" s="538" t="s">
        <v>1988</v>
      </c>
      <c r="B908" s="538">
        <v>221003</v>
      </c>
      <c r="E908" s="537" t="s">
        <v>646</v>
      </c>
    </row>
    <row r="909" spans="1:6">
      <c r="A909" s="543" t="s">
        <v>1989</v>
      </c>
      <c r="B909" s="543">
        <v>221004</v>
      </c>
      <c r="C909" s="543"/>
      <c r="D909" s="543"/>
      <c r="E909" s="544" t="s">
        <v>647</v>
      </c>
      <c r="F909" s="537" t="s">
        <v>2038</v>
      </c>
    </row>
    <row r="910" spans="1:6">
      <c r="A910" s="543" t="s">
        <v>1990</v>
      </c>
      <c r="B910" s="543">
        <v>221005</v>
      </c>
      <c r="C910" s="543"/>
      <c r="D910" s="543"/>
      <c r="E910" s="544" t="s">
        <v>648</v>
      </c>
      <c r="F910" s="537" t="s">
        <v>2038</v>
      </c>
    </row>
    <row r="911" spans="1:6">
      <c r="A911" s="538" t="s">
        <v>1991</v>
      </c>
      <c r="B911" s="538">
        <v>221006</v>
      </c>
      <c r="E911" s="537" t="s">
        <v>649</v>
      </c>
    </row>
    <row r="912" spans="1:6">
      <c r="A912" s="538"/>
    </row>
    <row r="913" spans="1:6">
      <c r="A913" s="538" t="s">
        <v>1992</v>
      </c>
      <c r="B913" s="538">
        <v>222</v>
      </c>
      <c r="E913" s="537" t="s">
        <v>883</v>
      </c>
      <c r="F913" s="537" t="s">
        <v>2040</v>
      </c>
    </row>
    <row r="914" spans="1:6">
      <c r="A914" s="538" t="s">
        <v>1993</v>
      </c>
      <c r="B914" s="538">
        <v>222001</v>
      </c>
      <c r="E914" s="537" t="s">
        <v>650</v>
      </c>
    </row>
    <row r="915" spans="1:6">
      <c r="A915" s="538" t="s">
        <v>1994</v>
      </c>
      <c r="B915" s="538">
        <v>222002</v>
      </c>
      <c r="E915" s="537" t="s">
        <v>651</v>
      </c>
    </row>
    <row r="916" spans="1:6">
      <c r="A916" s="538" t="s">
        <v>1995</v>
      </c>
      <c r="B916" s="538">
        <v>222003</v>
      </c>
      <c r="E916" s="537" t="s">
        <v>652</v>
      </c>
    </row>
    <row r="917" spans="1:6">
      <c r="A917" s="538" t="s">
        <v>1996</v>
      </c>
      <c r="B917" s="538">
        <v>222004</v>
      </c>
      <c r="E917" s="537" t="s">
        <v>653</v>
      </c>
    </row>
    <row r="918" spans="1:6">
      <c r="A918" s="538" t="s">
        <v>1997</v>
      </c>
      <c r="B918" s="538">
        <v>222005</v>
      </c>
      <c r="E918" s="537" t="s">
        <v>654</v>
      </c>
    </row>
    <row r="919" spans="1:6">
      <c r="A919" s="538" t="s">
        <v>1998</v>
      </c>
      <c r="B919" s="538">
        <v>222006</v>
      </c>
      <c r="E919" s="537" t="s">
        <v>655</v>
      </c>
    </row>
    <row r="920" spans="1:6">
      <c r="A920" s="538" t="s">
        <v>1999</v>
      </c>
      <c r="B920" s="538">
        <v>222007</v>
      </c>
      <c r="E920" s="537" t="s">
        <v>656</v>
      </c>
    </row>
    <row r="921" spans="1:6">
      <c r="A921" s="538" t="s">
        <v>2000</v>
      </c>
      <c r="B921" s="538">
        <v>222008</v>
      </c>
      <c r="E921" s="537" t="s">
        <v>657</v>
      </c>
    </row>
    <row r="922" spans="1:6">
      <c r="A922" s="538" t="s">
        <v>2001</v>
      </c>
      <c r="B922" s="538">
        <v>222009</v>
      </c>
      <c r="E922" s="537" t="s">
        <v>658</v>
      </c>
    </row>
    <row r="923" spans="1:6">
      <c r="A923" s="538" t="s">
        <v>2002</v>
      </c>
      <c r="B923" s="538">
        <v>222010</v>
      </c>
      <c r="E923" s="537" t="s">
        <v>659</v>
      </c>
    </row>
    <row r="924" spans="1:6">
      <c r="A924" s="538" t="s">
        <v>2003</v>
      </c>
      <c r="B924" s="538">
        <v>222011</v>
      </c>
      <c r="E924" s="537" t="s">
        <v>660</v>
      </c>
    </row>
    <row r="925" spans="1:6">
      <c r="A925" s="538" t="s">
        <v>2004</v>
      </c>
      <c r="B925" s="538">
        <v>222012</v>
      </c>
      <c r="E925" s="537" t="s">
        <v>661</v>
      </c>
    </row>
    <row r="926" spans="1:6">
      <c r="A926" s="538" t="s">
        <v>2005</v>
      </c>
      <c r="B926" s="538">
        <v>222013</v>
      </c>
      <c r="E926" s="537" t="s">
        <v>662</v>
      </c>
    </row>
    <row r="927" spans="1:6">
      <c r="A927" s="538" t="s">
        <v>2006</v>
      </c>
      <c r="B927" s="538">
        <v>222014</v>
      </c>
      <c r="E927" s="537" t="s">
        <v>663</v>
      </c>
    </row>
    <row r="928" spans="1:6">
      <c r="A928" s="538" t="s">
        <v>2007</v>
      </c>
      <c r="B928" s="538">
        <v>222015</v>
      </c>
      <c r="E928" s="537" t="s">
        <v>664</v>
      </c>
    </row>
    <row r="929" spans="1:6">
      <c r="A929" s="538" t="s">
        <v>2008</v>
      </c>
      <c r="B929" s="538">
        <v>222016</v>
      </c>
      <c r="E929" s="537" t="s">
        <v>665</v>
      </c>
    </row>
    <row r="930" spans="1:6">
      <c r="A930" s="538"/>
    </row>
    <row r="931" spans="1:6">
      <c r="A931" s="538" t="s">
        <v>2009</v>
      </c>
      <c r="B931" s="538">
        <v>223</v>
      </c>
      <c r="E931" s="537" t="s">
        <v>884</v>
      </c>
      <c r="F931" s="537" t="s">
        <v>2040</v>
      </c>
    </row>
    <row r="932" spans="1:6">
      <c r="A932" s="538" t="s">
        <v>2010</v>
      </c>
      <c r="B932" s="538">
        <v>223001</v>
      </c>
      <c r="E932" s="537" t="s">
        <v>666</v>
      </c>
    </row>
    <row r="933" spans="1:6">
      <c r="A933" s="538" t="s">
        <v>2011</v>
      </c>
      <c r="B933" s="538">
        <v>223002</v>
      </c>
      <c r="E933" s="537" t="s">
        <v>667</v>
      </c>
    </row>
    <row r="934" spans="1:6">
      <c r="A934" s="543" t="s">
        <v>2012</v>
      </c>
      <c r="B934" s="543">
        <v>223003</v>
      </c>
      <c r="C934" s="543"/>
      <c r="D934" s="543"/>
      <c r="E934" s="544" t="s">
        <v>668</v>
      </c>
      <c r="F934" s="537" t="s">
        <v>2038</v>
      </c>
    </row>
    <row r="935" spans="1:6">
      <c r="A935" s="538" t="s">
        <v>2013</v>
      </c>
      <c r="B935" s="538">
        <v>223004</v>
      </c>
      <c r="E935" s="537" t="s">
        <v>669</v>
      </c>
    </row>
    <row r="936" spans="1:6">
      <c r="A936" s="538" t="s">
        <v>2014</v>
      </c>
      <c r="B936" s="538">
        <v>223005</v>
      </c>
      <c r="E936" s="537" t="s">
        <v>670</v>
      </c>
    </row>
    <row r="937" spans="1:6">
      <c r="A937" s="538" t="s">
        <v>2015</v>
      </c>
      <c r="B937" s="538">
        <v>223006</v>
      </c>
      <c r="E937" s="537" t="s">
        <v>671</v>
      </c>
    </row>
    <row r="938" spans="1:6">
      <c r="A938" s="538" t="s">
        <v>2016</v>
      </c>
      <c r="B938" s="538">
        <v>223007</v>
      </c>
      <c r="E938" s="537" t="s">
        <v>672</v>
      </c>
    </row>
    <row r="939" spans="1:6">
      <c r="A939" s="538" t="s">
        <v>2017</v>
      </c>
      <c r="B939" s="538">
        <v>223008</v>
      </c>
      <c r="E939" s="537" t="s">
        <v>673</v>
      </c>
    </row>
    <row r="940" spans="1:6">
      <c r="A940" s="538" t="s">
        <v>2018</v>
      </c>
      <c r="B940" s="538">
        <v>223009</v>
      </c>
      <c r="E940" s="537" t="s">
        <v>674</v>
      </c>
    </row>
    <row r="941" spans="1:6">
      <c r="A941" s="538" t="s">
        <v>2019</v>
      </c>
      <c r="B941" s="538">
        <v>223010</v>
      </c>
      <c r="E941" s="537" t="s">
        <v>675</v>
      </c>
    </row>
    <row r="942" spans="1:6">
      <c r="A942" s="538"/>
    </row>
    <row r="943" spans="1:6">
      <c r="A943" s="538" t="s">
        <v>2020</v>
      </c>
      <c r="B943" s="538">
        <v>224</v>
      </c>
      <c r="E943" s="537" t="s">
        <v>300</v>
      </c>
      <c r="F943" s="537" t="s">
        <v>2040</v>
      </c>
    </row>
    <row r="944" spans="1:6">
      <c r="A944" s="543" t="s">
        <v>2021</v>
      </c>
      <c r="B944" s="543">
        <v>224001</v>
      </c>
      <c r="C944" s="543"/>
      <c r="D944" s="543"/>
      <c r="E944" s="544" t="s">
        <v>680</v>
      </c>
      <c r="F944" s="537" t="s">
        <v>2038</v>
      </c>
    </row>
    <row r="945" spans="1:6">
      <c r="A945" s="543" t="s">
        <v>2022</v>
      </c>
      <c r="B945" s="543">
        <v>224002</v>
      </c>
      <c r="C945" s="543"/>
      <c r="D945" s="543"/>
      <c r="E945" s="544" t="s">
        <v>681</v>
      </c>
      <c r="F945" s="537" t="s">
        <v>2038</v>
      </c>
    </row>
    <row r="946" spans="1:6">
      <c r="A946" s="538"/>
    </row>
    <row r="947" spans="1:6">
      <c r="A947" s="538" t="s">
        <v>2023</v>
      </c>
      <c r="B947" s="538">
        <v>225</v>
      </c>
      <c r="E947" s="537" t="s">
        <v>885</v>
      </c>
      <c r="F947" s="537" t="s">
        <v>2040</v>
      </c>
    </row>
    <row r="948" spans="1:6">
      <c r="A948" s="543" t="s">
        <v>2024</v>
      </c>
      <c r="B948" s="543">
        <v>225001</v>
      </c>
      <c r="C948" s="543"/>
      <c r="D948" s="543"/>
      <c r="E948" s="544" t="s">
        <v>699</v>
      </c>
      <c r="F948" s="537" t="s">
        <v>2038</v>
      </c>
    </row>
    <row r="949" spans="1:6">
      <c r="A949" s="543" t="s">
        <v>2025</v>
      </c>
      <c r="B949" s="543">
        <v>225002</v>
      </c>
      <c r="C949" s="543"/>
      <c r="D949" s="543"/>
      <c r="E949" s="544" t="s">
        <v>700</v>
      </c>
      <c r="F949" s="537" t="s">
        <v>2038</v>
      </c>
    </row>
    <row r="950" spans="1:6">
      <c r="A950" s="538"/>
    </row>
    <row r="951" spans="1:6">
      <c r="A951" s="538" t="s">
        <v>2026</v>
      </c>
      <c r="B951" s="538">
        <v>226</v>
      </c>
      <c r="E951" s="537" t="s">
        <v>886</v>
      </c>
      <c r="F951" s="537" t="s">
        <v>2040</v>
      </c>
    </row>
    <row r="952" spans="1:6">
      <c r="A952" s="543" t="s">
        <v>2027</v>
      </c>
      <c r="B952" s="543">
        <v>226003</v>
      </c>
      <c r="C952" s="543"/>
      <c r="D952" s="543"/>
      <c r="E952" s="544" t="s">
        <v>688</v>
      </c>
      <c r="F952" s="537" t="s">
        <v>2038</v>
      </c>
    </row>
    <row r="953" spans="1:6">
      <c r="A953" s="543" t="s">
        <v>2028</v>
      </c>
      <c r="B953" s="543">
        <v>226004</v>
      </c>
      <c r="C953" s="543"/>
      <c r="D953" s="543"/>
      <c r="E953" s="544" t="s">
        <v>701</v>
      </c>
      <c r="F953" s="537" t="s">
        <v>2038</v>
      </c>
    </row>
    <row r="954" spans="1:6">
      <c r="A954" s="543" t="s">
        <v>2029</v>
      </c>
      <c r="B954" s="543">
        <v>226005</v>
      </c>
      <c r="C954" s="543"/>
      <c r="D954" s="543"/>
      <c r="E954" s="544" t="s">
        <v>702</v>
      </c>
      <c r="F954" s="537" t="s">
        <v>2038</v>
      </c>
    </row>
    <row r="955" spans="1:6">
      <c r="A955" s="538"/>
    </row>
    <row r="956" spans="1:6">
      <c r="A956" s="538" t="s">
        <v>2030</v>
      </c>
      <c r="B956" s="538">
        <v>227</v>
      </c>
      <c r="E956" s="537" t="s">
        <v>887</v>
      </c>
      <c r="F956" s="537" t="s">
        <v>2040</v>
      </c>
    </row>
    <row r="957" spans="1:6">
      <c r="A957" s="543" t="s">
        <v>2031</v>
      </c>
      <c r="B957" s="543">
        <v>227001</v>
      </c>
      <c r="C957" s="543"/>
      <c r="D957" s="543"/>
      <c r="E957" s="544" t="s">
        <v>693</v>
      </c>
      <c r="F957" s="537" t="s">
        <v>2038</v>
      </c>
    </row>
    <row r="958" spans="1:6">
      <c r="A958" s="543" t="s">
        <v>2032</v>
      </c>
      <c r="B958" s="543">
        <v>227002</v>
      </c>
      <c r="C958" s="543"/>
      <c r="D958" s="543"/>
      <c r="E958" s="544" t="s">
        <v>694</v>
      </c>
      <c r="F958" s="537" t="s">
        <v>2038</v>
      </c>
    </row>
    <row r="959" spans="1:6">
      <c r="A959" s="543" t="s">
        <v>2033</v>
      </c>
      <c r="B959" s="543">
        <v>227003</v>
      </c>
      <c r="C959" s="543"/>
      <c r="D959" s="543"/>
      <c r="E959" s="544" t="s">
        <v>695</v>
      </c>
      <c r="F959" s="537" t="s">
        <v>2038</v>
      </c>
    </row>
    <row r="960" spans="1:6">
      <c r="A960" s="543" t="s">
        <v>2034</v>
      </c>
      <c r="B960" s="543">
        <v>227004</v>
      </c>
      <c r="C960" s="543"/>
      <c r="D960" s="543"/>
      <c r="E960" s="544" t="s">
        <v>696</v>
      </c>
      <c r="F960" s="537" t="s">
        <v>2038</v>
      </c>
    </row>
    <row r="961" spans="1:7">
      <c r="A961" s="543" t="s">
        <v>2035</v>
      </c>
      <c r="B961" s="543">
        <v>227005</v>
      </c>
      <c r="C961" s="543"/>
      <c r="D961" s="543"/>
      <c r="E961" s="544" t="s">
        <v>697</v>
      </c>
      <c r="F961" s="537" t="s">
        <v>2038</v>
      </c>
    </row>
    <row r="962" spans="1:7">
      <c r="A962" s="543" t="s">
        <v>2036</v>
      </c>
      <c r="B962" s="543">
        <v>227006</v>
      </c>
      <c r="C962" s="543"/>
      <c r="D962" s="543"/>
      <c r="E962" s="544" t="s">
        <v>698</v>
      </c>
      <c r="F962" s="537" t="s">
        <v>2038</v>
      </c>
    </row>
    <row r="963" spans="1:7">
      <c r="A963" s="543" t="s">
        <v>2037</v>
      </c>
      <c r="B963" s="543">
        <v>227007</v>
      </c>
      <c r="C963" s="543"/>
      <c r="D963" s="543"/>
      <c r="E963" s="544" t="s">
        <v>692</v>
      </c>
      <c r="F963" s="537" t="s">
        <v>2038</v>
      </c>
    </row>
    <row r="964" spans="1:7">
      <c r="A964" s="538"/>
    </row>
    <row r="965" spans="1:7">
      <c r="E965" s="538"/>
      <c r="G965" s="538"/>
    </row>
    <row r="966" spans="1:7">
      <c r="E966" s="538"/>
      <c r="G966" s="538"/>
    </row>
    <row r="967" spans="1:7">
      <c r="E967" s="538"/>
      <c r="G967" s="538"/>
    </row>
    <row r="968" spans="1:7">
      <c r="E968" s="538"/>
      <c r="G968" s="538"/>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377" workbookViewId="0">
      <selection activeCell="C536" sqref="C536"/>
    </sheetView>
  </sheetViews>
  <sheetFormatPr baseColWidth="10" defaultColWidth="11.42578125" defaultRowHeight="15"/>
  <cols>
    <col min="1" max="1" width="11.42578125" style="308"/>
    <col min="2" max="2" width="23" style="308" bestFit="1" customWidth="1"/>
    <col min="3" max="3" width="61.7109375" style="308" customWidth="1"/>
    <col min="4" max="4" width="17.28515625" style="308" bestFit="1" customWidth="1"/>
    <col min="5" max="16384" width="11.42578125" style="39"/>
  </cols>
  <sheetData>
    <row r="1" spans="1:19">
      <c r="A1" s="166"/>
      <c r="B1" s="167" t="s">
        <v>1016</v>
      </c>
      <c r="C1" s="168" t="s">
        <v>1017</v>
      </c>
      <c r="D1" s="169"/>
      <c r="G1" s="170"/>
      <c r="H1" s="171" t="s">
        <v>1016</v>
      </c>
      <c r="I1" s="172" t="s">
        <v>1017</v>
      </c>
      <c r="J1" s="170"/>
      <c r="K1" s="170"/>
      <c r="L1" s="170"/>
      <c r="M1" s="170"/>
      <c r="N1" s="170"/>
      <c r="O1" s="173"/>
      <c r="P1" s="170"/>
      <c r="Q1" s="170"/>
      <c r="R1" s="170"/>
      <c r="S1" s="170"/>
    </row>
    <row r="2" spans="1:19" ht="15.75" thickBot="1">
      <c r="A2" s="166"/>
      <c r="B2" s="167"/>
      <c r="C2" s="168"/>
      <c r="D2" s="169"/>
      <c r="G2" s="170"/>
      <c r="H2" s="174"/>
      <c r="I2" s="175"/>
      <c r="J2" s="170"/>
      <c r="K2" s="170"/>
      <c r="L2" s="170"/>
      <c r="M2" s="170"/>
      <c r="N2" s="170"/>
      <c r="O2" s="173"/>
      <c r="P2" s="170"/>
      <c r="Q2" s="170"/>
      <c r="R2" s="170"/>
      <c r="S2" s="170"/>
    </row>
    <row r="3" spans="1:19">
      <c r="A3" s="176">
        <v>1</v>
      </c>
      <c r="B3" s="177" t="s">
        <v>1018</v>
      </c>
      <c r="C3" s="78" t="s">
        <v>1019</v>
      </c>
      <c r="D3" s="169"/>
      <c r="G3" s="170"/>
      <c r="H3" s="178">
        <v>1</v>
      </c>
      <c r="I3" s="179"/>
      <c r="J3" s="180"/>
      <c r="K3" s="181" t="s">
        <v>1019</v>
      </c>
      <c r="L3" s="182"/>
      <c r="M3" s="182"/>
      <c r="N3" s="182"/>
      <c r="O3" s="183"/>
      <c r="P3" s="170"/>
      <c r="Q3" s="184">
        <f>H3</f>
        <v>1</v>
      </c>
      <c r="R3" s="175" t="str">
        <f>CONCATENATE("II-",TEXT(Q3,"0000"))</f>
        <v>II-0001</v>
      </c>
      <c r="S3" s="185" t="str">
        <f>K3</f>
        <v xml:space="preserve"> ACERO EN BARRA COLOCADO</v>
      </c>
    </row>
    <row r="4" spans="1:19">
      <c r="A4" s="176"/>
      <c r="B4" s="177"/>
      <c r="C4" s="78"/>
      <c r="D4" s="169"/>
      <c r="G4" s="170"/>
      <c r="H4" s="186"/>
      <c r="I4" s="187" t="s">
        <v>1020</v>
      </c>
      <c r="J4" s="188"/>
      <c r="K4" s="189" t="s">
        <v>1021</v>
      </c>
      <c r="L4" s="190"/>
      <c r="M4" s="190"/>
      <c r="N4" s="190"/>
      <c r="O4" s="191"/>
      <c r="P4" s="170"/>
      <c r="Q4" s="170"/>
      <c r="R4" s="170"/>
      <c r="S4" s="170"/>
    </row>
    <row r="5" spans="1:19">
      <c r="A5" s="176">
        <v>1</v>
      </c>
      <c r="B5" s="177" t="s">
        <v>1022</v>
      </c>
      <c r="C5" s="78" t="s">
        <v>1023</v>
      </c>
      <c r="D5" s="175" t="s">
        <v>1024</v>
      </c>
      <c r="G5" s="170"/>
      <c r="H5" s="186"/>
      <c r="I5" s="175"/>
      <c r="J5" s="192">
        <v>1</v>
      </c>
      <c r="K5" s="170"/>
      <c r="L5" s="185" t="s">
        <v>1025</v>
      </c>
      <c r="M5" s="170"/>
      <c r="N5" s="170"/>
      <c r="O5" s="193" t="s">
        <v>1024</v>
      </c>
      <c r="P5" s="170"/>
      <c r="Q5" s="184">
        <v>1</v>
      </c>
      <c r="R5" s="177" t="str">
        <f>CONCATENATE($R$3,".",TEXT(Q5,"0000"))</f>
        <v>II-0001.0001</v>
      </c>
      <c r="S5" s="170" t="str">
        <f t="shared" ref="S5:S12" si="0">CONCATENATE($E$4," ",L5)</f>
        <v xml:space="preserve"> Ø4</v>
      </c>
    </row>
    <row r="6" spans="1:19">
      <c r="A6" s="176">
        <v>2</v>
      </c>
      <c r="B6" s="169" t="s">
        <v>1026</v>
      </c>
      <c r="C6" s="78" t="s">
        <v>1027</v>
      </c>
      <c r="D6" s="175" t="s">
        <v>1024</v>
      </c>
      <c r="G6" s="170"/>
      <c r="H6" s="186"/>
      <c r="I6" s="175"/>
      <c r="J6" s="192">
        <v>2</v>
      </c>
      <c r="K6" s="170"/>
      <c r="L6" s="185" t="s">
        <v>1028</v>
      </c>
      <c r="M6" s="170"/>
      <c r="N6" s="170"/>
      <c r="O6" s="193" t="s">
        <v>1024</v>
      </c>
      <c r="P6" s="170"/>
      <c r="Q6" s="184">
        <v>2</v>
      </c>
      <c r="R6" s="177" t="str">
        <f t="shared" ref="R6:R30" si="1">CONCATENATE($R$3,".",TEXT(Q6,"0000"))</f>
        <v>II-0001.0002</v>
      </c>
      <c r="S6" s="170" t="str">
        <f t="shared" si="0"/>
        <v xml:space="preserve"> Ø6</v>
      </c>
    </row>
    <row r="7" spans="1:19">
      <c r="A7" s="176">
        <v>3</v>
      </c>
      <c r="B7" s="169" t="s">
        <v>1029</v>
      </c>
      <c r="C7" s="78" t="s">
        <v>1030</v>
      </c>
      <c r="D7" s="175" t="s">
        <v>1024</v>
      </c>
      <c r="G7" s="170"/>
      <c r="H7" s="186"/>
      <c r="I7" s="175"/>
      <c r="J7" s="192">
        <v>3</v>
      </c>
      <c r="K7" s="170"/>
      <c r="L7" s="185" t="s">
        <v>1031</v>
      </c>
      <c r="M7" s="170"/>
      <c r="N7" s="170"/>
      <c r="O7" s="193" t="s">
        <v>1024</v>
      </c>
      <c r="P7" s="170"/>
      <c r="Q7" s="184">
        <v>3</v>
      </c>
      <c r="R7" s="177" t="str">
        <f t="shared" si="1"/>
        <v>II-0001.0003</v>
      </c>
      <c r="S7" s="170" t="str">
        <f t="shared" si="0"/>
        <v xml:space="preserve"> Ø8</v>
      </c>
    </row>
    <row r="8" spans="1:19">
      <c r="A8" s="176">
        <v>4</v>
      </c>
      <c r="B8" s="169" t="s">
        <v>1032</v>
      </c>
      <c r="C8" s="194" t="s">
        <v>1033</v>
      </c>
      <c r="D8" s="175" t="s">
        <v>1024</v>
      </c>
      <c r="G8" s="170"/>
      <c r="H8" s="186"/>
      <c r="I8" s="175"/>
      <c r="J8" s="192">
        <v>4</v>
      </c>
      <c r="K8" s="170"/>
      <c r="L8" s="185" t="s">
        <v>1034</v>
      </c>
      <c r="M8" s="170"/>
      <c r="N8" s="170"/>
      <c r="O8" s="193" t="s">
        <v>1024</v>
      </c>
      <c r="P8" s="170"/>
      <c r="Q8" s="184">
        <v>4</v>
      </c>
      <c r="R8" s="177" t="str">
        <f t="shared" si="1"/>
        <v>II-0001.0004</v>
      </c>
      <c r="S8" s="170" t="str">
        <f t="shared" si="0"/>
        <v xml:space="preserve"> Ø10</v>
      </c>
    </row>
    <row r="9" spans="1:19">
      <c r="A9" s="176">
        <v>5</v>
      </c>
      <c r="B9" s="177" t="s">
        <v>1035</v>
      </c>
      <c r="C9" s="78" t="s">
        <v>1036</v>
      </c>
      <c r="D9" s="175" t="s">
        <v>1024</v>
      </c>
      <c r="G9" s="170"/>
      <c r="H9" s="186"/>
      <c r="I9" s="175"/>
      <c r="J9" s="192">
        <v>5</v>
      </c>
      <c r="K9" s="170"/>
      <c r="L9" s="185" t="s">
        <v>1037</v>
      </c>
      <c r="M9" s="170"/>
      <c r="N9" s="170"/>
      <c r="O9" s="193" t="s">
        <v>1024</v>
      </c>
      <c r="P9" s="170"/>
      <c r="Q9" s="184">
        <v>5</v>
      </c>
      <c r="R9" s="177" t="str">
        <f t="shared" si="1"/>
        <v>II-0001.0005</v>
      </c>
      <c r="S9" s="170" t="str">
        <f t="shared" si="0"/>
        <v xml:space="preserve"> Ø12</v>
      </c>
    </row>
    <row r="10" spans="1:19">
      <c r="A10" s="176">
        <v>6</v>
      </c>
      <c r="B10" s="177" t="s">
        <v>1038</v>
      </c>
      <c r="C10" s="78" t="s">
        <v>1039</v>
      </c>
      <c r="D10" s="175" t="s">
        <v>1024</v>
      </c>
      <c r="G10" s="170"/>
      <c r="H10" s="186"/>
      <c r="I10" s="175"/>
      <c r="J10" s="192">
        <v>6</v>
      </c>
      <c r="K10" s="170"/>
      <c r="L10" s="185" t="s">
        <v>1040</v>
      </c>
      <c r="M10" s="170"/>
      <c r="N10" s="170"/>
      <c r="O10" s="193" t="s">
        <v>1024</v>
      </c>
      <c r="P10" s="170"/>
      <c r="Q10" s="184">
        <v>6</v>
      </c>
      <c r="R10" s="177" t="str">
        <f t="shared" si="1"/>
        <v>II-0001.0006</v>
      </c>
      <c r="S10" s="170" t="str">
        <f t="shared" si="0"/>
        <v xml:space="preserve"> Ø16</v>
      </c>
    </row>
    <row r="11" spans="1:19">
      <c r="A11" s="176">
        <v>7</v>
      </c>
      <c r="B11" s="177" t="s">
        <v>1041</v>
      </c>
      <c r="C11" s="78" t="s">
        <v>1042</v>
      </c>
      <c r="D11" s="175" t="s">
        <v>1024</v>
      </c>
      <c r="G11" s="170"/>
      <c r="H11" s="186"/>
      <c r="I11" s="175"/>
      <c r="J11" s="192">
        <v>7</v>
      </c>
      <c r="K11" s="170"/>
      <c r="L11" s="185" t="s">
        <v>1043</v>
      </c>
      <c r="M11" s="170"/>
      <c r="N11" s="170"/>
      <c r="O11" s="193" t="s">
        <v>1024</v>
      </c>
      <c r="P11" s="170"/>
      <c r="Q11" s="184">
        <v>7</v>
      </c>
      <c r="R11" s="177" t="str">
        <f t="shared" si="1"/>
        <v>II-0001.0007</v>
      </c>
      <c r="S11" s="170" t="str">
        <f t="shared" si="0"/>
        <v xml:space="preserve"> Ø18</v>
      </c>
    </row>
    <row r="12" spans="1:19">
      <c r="A12" s="176">
        <v>8</v>
      </c>
      <c r="B12" s="169" t="s">
        <v>1044</v>
      </c>
      <c r="C12" s="78" t="s">
        <v>1045</v>
      </c>
      <c r="D12" s="175" t="s">
        <v>1024</v>
      </c>
      <c r="G12" s="170"/>
      <c r="H12" s="186"/>
      <c r="I12" s="175"/>
      <c r="J12" s="195">
        <v>8</v>
      </c>
      <c r="K12" s="196"/>
      <c r="L12" s="197" t="s">
        <v>1046</v>
      </c>
      <c r="M12" s="196"/>
      <c r="N12" s="196"/>
      <c r="O12" s="198" t="s">
        <v>1024</v>
      </c>
      <c r="P12" s="170"/>
      <c r="Q12" s="184">
        <v>8</v>
      </c>
      <c r="R12" s="177" t="str">
        <f t="shared" si="1"/>
        <v>II-0001.0008</v>
      </c>
      <c r="S12" s="170" t="str">
        <f t="shared" si="0"/>
        <v xml:space="preserve"> Ø20</v>
      </c>
    </row>
    <row r="13" spans="1:19">
      <c r="A13" s="176"/>
      <c r="B13" s="169"/>
      <c r="C13" s="78"/>
      <c r="D13" s="175"/>
      <c r="G13" s="170"/>
      <c r="H13" s="186"/>
      <c r="I13" s="187" t="s">
        <v>1047</v>
      </c>
      <c r="J13" s="175"/>
      <c r="K13" s="199" t="s">
        <v>1048</v>
      </c>
      <c r="L13" s="190"/>
      <c r="M13" s="190"/>
      <c r="N13" s="190"/>
      <c r="O13" s="191"/>
      <c r="P13" s="170"/>
      <c r="Q13" s="170"/>
      <c r="R13" s="170"/>
      <c r="S13" s="170"/>
    </row>
    <row r="14" spans="1:19">
      <c r="A14" s="176">
        <v>20</v>
      </c>
      <c r="B14" s="169" t="s">
        <v>1049</v>
      </c>
      <c r="C14" s="194" t="s">
        <v>1023</v>
      </c>
      <c r="D14" s="175" t="s">
        <v>1024</v>
      </c>
      <c r="G14" s="170"/>
      <c r="H14" s="186"/>
      <c r="I14" s="175"/>
      <c r="J14" s="192">
        <v>1</v>
      </c>
      <c r="K14" s="170"/>
      <c r="L14" s="185" t="s">
        <v>1025</v>
      </c>
      <c r="M14" s="170"/>
      <c r="N14" s="170"/>
      <c r="O14" s="193" t="s">
        <v>1024</v>
      </c>
      <c r="P14" s="170"/>
      <c r="Q14" s="184">
        <v>20</v>
      </c>
      <c r="R14" s="177" t="str">
        <f t="shared" si="1"/>
        <v>II-0001.0020</v>
      </c>
      <c r="S14" s="170" t="str">
        <f t="shared" ref="S14:S21" si="2">CONCATENATE($E$13," ",L14)</f>
        <v xml:space="preserve"> Ø4</v>
      </c>
    </row>
    <row r="15" spans="1:19">
      <c r="A15" s="176">
        <v>21</v>
      </c>
      <c r="B15" s="177" t="s">
        <v>1050</v>
      </c>
      <c r="C15" s="78" t="s">
        <v>1027</v>
      </c>
      <c r="D15" s="175" t="s">
        <v>1024</v>
      </c>
      <c r="G15" s="170"/>
      <c r="H15" s="186"/>
      <c r="I15" s="175"/>
      <c r="J15" s="192">
        <v>2</v>
      </c>
      <c r="K15" s="170"/>
      <c r="L15" s="185" t="s">
        <v>1028</v>
      </c>
      <c r="M15" s="170"/>
      <c r="N15" s="170"/>
      <c r="O15" s="193" t="s">
        <v>1024</v>
      </c>
      <c r="P15" s="170"/>
      <c r="Q15" s="184">
        <v>21</v>
      </c>
      <c r="R15" s="177" t="str">
        <f t="shared" si="1"/>
        <v>II-0001.0021</v>
      </c>
      <c r="S15" s="170" t="str">
        <f t="shared" si="2"/>
        <v xml:space="preserve"> Ø6</v>
      </c>
    </row>
    <row r="16" spans="1:19">
      <c r="A16" s="176">
        <v>22</v>
      </c>
      <c r="B16" s="177" t="s">
        <v>1051</v>
      </c>
      <c r="C16" s="78" t="s">
        <v>1030</v>
      </c>
      <c r="D16" s="175" t="s">
        <v>1024</v>
      </c>
      <c r="G16" s="170"/>
      <c r="H16" s="186"/>
      <c r="I16" s="175"/>
      <c r="J16" s="192">
        <v>3</v>
      </c>
      <c r="K16" s="170"/>
      <c r="L16" s="185" t="s">
        <v>1031</v>
      </c>
      <c r="M16" s="170"/>
      <c r="N16" s="170"/>
      <c r="O16" s="193" t="s">
        <v>1024</v>
      </c>
      <c r="P16" s="170"/>
      <c r="Q16" s="184">
        <v>22</v>
      </c>
      <c r="R16" s="177" t="str">
        <f t="shared" si="1"/>
        <v>II-0001.0022</v>
      </c>
      <c r="S16" s="170" t="str">
        <f t="shared" si="2"/>
        <v xml:space="preserve"> Ø8</v>
      </c>
    </row>
    <row r="17" spans="1:19">
      <c r="A17" s="176">
        <v>23</v>
      </c>
      <c r="B17" s="177" t="s">
        <v>1052</v>
      </c>
      <c r="C17" s="78" t="s">
        <v>1033</v>
      </c>
      <c r="D17" s="175" t="s">
        <v>1024</v>
      </c>
      <c r="G17" s="170"/>
      <c r="H17" s="186"/>
      <c r="I17" s="175"/>
      <c r="J17" s="192">
        <v>4</v>
      </c>
      <c r="K17" s="170"/>
      <c r="L17" s="185" t="s">
        <v>1034</v>
      </c>
      <c r="M17" s="170"/>
      <c r="N17" s="170"/>
      <c r="O17" s="193" t="s">
        <v>1024</v>
      </c>
      <c r="P17" s="170"/>
      <c r="Q17" s="184">
        <v>23</v>
      </c>
      <c r="R17" s="177" t="str">
        <f t="shared" si="1"/>
        <v>II-0001.0023</v>
      </c>
      <c r="S17" s="170" t="str">
        <f t="shared" si="2"/>
        <v xml:space="preserve"> Ø10</v>
      </c>
    </row>
    <row r="18" spans="1:19">
      <c r="A18" s="176">
        <v>24</v>
      </c>
      <c r="B18" s="177" t="s">
        <v>1053</v>
      </c>
      <c r="C18" s="78" t="s">
        <v>1036</v>
      </c>
      <c r="D18" s="175" t="s">
        <v>1024</v>
      </c>
      <c r="G18" s="170"/>
      <c r="H18" s="186"/>
      <c r="I18" s="175"/>
      <c r="J18" s="192">
        <v>5</v>
      </c>
      <c r="K18" s="170"/>
      <c r="L18" s="185" t="s">
        <v>1037</v>
      </c>
      <c r="M18" s="170"/>
      <c r="N18" s="170"/>
      <c r="O18" s="193" t="s">
        <v>1024</v>
      </c>
      <c r="P18" s="170"/>
      <c r="Q18" s="184">
        <v>24</v>
      </c>
      <c r="R18" s="177" t="str">
        <f t="shared" si="1"/>
        <v>II-0001.0024</v>
      </c>
      <c r="S18" s="170" t="str">
        <f t="shared" si="2"/>
        <v xml:space="preserve"> Ø12</v>
      </c>
    </row>
    <row r="19" spans="1:19">
      <c r="A19" s="176">
        <v>25</v>
      </c>
      <c r="B19" s="169" t="s">
        <v>1054</v>
      </c>
      <c r="C19" s="78" t="s">
        <v>1039</v>
      </c>
      <c r="D19" s="175" t="s">
        <v>1024</v>
      </c>
      <c r="G19" s="170"/>
      <c r="H19" s="186"/>
      <c r="I19" s="175"/>
      <c r="J19" s="192">
        <v>6</v>
      </c>
      <c r="K19" s="170"/>
      <c r="L19" s="185" t="s">
        <v>1040</v>
      </c>
      <c r="M19" s="170"/>
      <c r="N19" s="170"/>
      <c r="O19" s="193" t="s">
        <v>1024</v>
      </c>
      <c r="P19" s="170"/>
      <c r="Q19" s="184">
        <v>25</v>
      </c>
      <c r="R19" s="177" t="str">
        <f t="shared" si="1"/>
        <v>II-0001.0025</v>
      </c>
      <c r="S19" s="170" t="str">
        <f t="shared" si="2"/>
        <v xml:space="preserve"> Ø16</v>
      </c>
    </row>
    <row r="20" spans="1:19">
      <c r="A20" s="176">
        <v>26</v>
      </c>
      <c r="B20" s="169" t="s">
        <v>1055</v>
      </c>
      <c r="C20" s="78" t="s">
        <v>1042</v>
      </c>
      <c r="D20" s="175" t="s">
        <v>1024</v>
      </c>
      <c r="G20" s="170"/>
      <c r="H20" s="186"/>
      <c r="I20" s="175"/>
      <c r="J20" s="192">
        <v>7</v>
      </c>
      <c r="K20" s="170"/>
      <c r="L20" s="185" t="s">
        <v>1043</v>
      </c>
      <c r="M20" s="170"/>
      <c r="N20" s="170"/>
      <c r="O20" s="193" t="s">
        <v>1024</v>
      </c>
      <c r="P20" s="170"/>
      <c r="Q20" s="184">
        <v>26</v>
      </c>
      <c r="R20" s="177" t="str">
        <f t="shared" si="1"/>
        <v>II-0001.0026</v>
      </c>
      <c r="S20" s="170" t="str">
        <f t="shared" si="2"/>
        <v xml:space="preserve"> Ø18</v>
      </c>
    </row>
    <row r="21" spans="1:19">
      <c r="A21" s="176">
        <v>27</v>
      </c>
      <c r="B21" s="169" t="s">
        <v>1056</v>
      </c>
      <c r="C21" s="194" t="s">
        <v>1045</v>
      </c>
      <c r="D21" s="175" t="s">
        <v>1024</v>
      </c>
      <c r="G21" s="170"/>
      <c r="H21" s="186"/>
      <c r="I21" s="200"/>
      <c r="J21" s="195">
        <v>8</v>
      </c>
      <c r="K21" s="196"/>
      <c r="L21" s="197" t="s">
        <v>1046</v>
      </c>
      <c r="M21" s="196"/>
      <c r="N21" s="196"/>
      <c r="O21" s="198" t="s">
        <v>1024</v>
      </c>
      <c r="P21" s="170"/>
      <c r="Q21" s="184">
        <v>27</v>
      </c>
      <c r="R21" s="177" t="str">
        <f t="shared" si="1"/>
        <v>II-0001.0027</v>
      </c>
      <c r="S21" s="170" t="str">
        <f t="shared" si="2"/>
        <v xml:space="preserve"> Ø20</v>
      </c>
    </row>
    <row r="22" spans="1:19">
      <c r="A22" s="176"/>
      <c r="B22" s="177"/>
      <c r="C22" s="78"/>
      <c r="D22" s="175"/>
      <c r="G22" s="170"/>
      <c r="H22" s="186"/>
      <c r="I22" s="187" t="s">
        <v>1057</v>
      </c>
      <c r="J22" s="175"/>
      <c r="K22" s="199" t="s">
        <v>1058</v>
      </c>
      <c r="L22" s="190"/>
      <c r="M22" s="190"/>
      <c r="N22" s="190"/>
      <c r="O22" s="191"/>
      <c r="P22" s="170"/>
      <c r="Q22" s="170"/>
      <c r="R22" s="170"/>
      <c r="S22" s="170"/>
    </row>
    <row r="23" spans="1:19">
      <c r="A23" s="176">
        <v>30</v>
      </c>
      <c r="B23" s="177" t="s">
        <v>1059</v>
      </c>
      <c r="C23" s="78" t="s">
        <v>1023</v>
      </c>
      <c r="D23" s="175" t="s">
        <v>1024</v>
      </c>
      <c r="G23" s="170"/>
      <c r="H23" s="186"/>
      <c r="I23" s="175"/>
      <c r="J23" s="192">
        <v>1</v>
      </c>
      <c r="K23" s="170"/>
      <c r="L23" s="185" t="s">
        <v>1025</v>
      </c>
      <c r="M23" s="170"/>
      <c r="N23" s="170"/>
      <c r="O23" s="193" t="s">
        <v>1024</v>
      </c>
      <c r="P23" s="170"/>
      <c r="Q23" s="184">
        <v>30</v>
      </c>
      <c r="R23" s="177" t="str">
        <f t="shared" si="1"/>
        <v>II-0001.0030</v>
      </c>
      <c r="S23" s="170" t="str">
        <f>CONCATENATE($E$22," ",L23)</f>
        <v xml:space="preserve"> Ø4</v>
      </c>
    </row>
    <row r="24" spans="1:19">
      <c r="A24" s="176">
        <v>31</v>
      </c>
      <c r="B24" s="177" t="s">
        <v>1060</v>
      </c>
      <c r="C24" s="78" t="s">
        <v>1027</v>
      </c>
      <c r="D24" s="175" t="s">
        <v>1024</v>
      </c>
      <c r="G24" s="170"/>
      <c r="H24" s="186"/>
      <c r="I24" s="175"/>
      <c r="J24" s="192">
        <v>2</v>
      </c>
      <c r="K24" s="170"/>
      <c r="L24" s="185" t="s">
        <v>1028</v>
      </c>
      <c r="M24" s="170"/>
      <c r="N24" s="170"/>
      <c r="O24" s="193" t="s">
        <v>1024</v>
      </c>
      <c r="P24" s="170"/>
      <c r="Q24" s="184">
        <v>31</v>
      </c>
      <c r="R24" s="177" t="str">
        <f t="shared" si="1"/>
        <v>II-0001.0031</v>
      </c>
      <c r="S24" s="170" t="str">
        <f t="shared" ref="S24:S30" si="3">CONCATENATE($E$22," ",L24)</f>
        <v xml:space="preserve"> Ø6</v>
      </c>
    </row>
    <row r="25" spans="1:19">
      <c r="A25" s="176">
        <v>32</v>
      </c>
      <c r="B25" s="177" t="s">
        <v>1061</v>
      </c>
      <c r="C25" s="78" t="s">
        <v>1030</v>
      </c>
      <c r="D25" s="175" t="s">
        <v>1024</v>
      </c>
      <c r="G25" s="170"/>
      <c r="H25" s="186"/>
      <c r="I25" s="175"/>
      <c r="J25" s="192">
        <v>3</v>
      </c>
      <c r="K25" s="170"/>
      <c r="L25" s="185" t="s">
        <v>1031</v>
      </c>
      <c r="M25" s="170"/>
      <c r="N25" s="170"/>
      <c r="O25" s="193" t="s">
        <v>1024</v>
      </c>
      <c r="P25" s="170"/>
      <c r="Q25" s="184">
        <v>32</v>
      </c>
      <c r="R25" s="177" t="str">
        <f t="shared" si="1"/>
        <v>II-0001.0032</v>
      </c>
      <c r="S25" s="170" t="str">
        <f t="shared" si="3"/>
        <v xml:space="preserve"> Ø8</v>
      </c>
    </row>
    <row r="26" spans="1:19">
      <c r="A26" s="176">
        <v>33</v>
      </c>
      <c r="B26" s="177" t="s">
        <v>1062</v>
      </c>
      <c r="C26" s="78" t="s">
        <v>1033</v>
      </c>
      <c r="D26" s="175" t="s">
        <v>1024</v>
      </c>
      <c r="G26" s="170"/>
      <c r="H26" s="186"/>
      <c r="I26" s="175"/>
      <c r="J26" s="192">
        <v>4</v>
      </c>
      <c r="K26" s="170"/>
      <c r="L26" s="185" t="s">
        <v>1034</v>
      </c>
      <c r="M26" s="170"/>
      <c r="N26" s="170"/>
      <c r="O26" s="193" t="s">
        <v>1024</v>
      </c>
      <c r="P26" s="170"/>
      <c r="Q26" s="184">
        <v>33</v>
      </c>
      <c r="R26" s="177" t="str">
        <f t="shared" si="1"/>
        <v>II-0001.0033</v>
      </c>
      <c r="S26" s="170" t="str">
        <f t="shared" si="3"/>
        <v xml:space="preserve"> Ø10</v>
      </c>
    </row>
    <row r="27" spans="1:19">
      <c r="A27" s="176">
        <v>34</v>
      </c>
      <c r="B27" s="177" t="s">
        <v>1063</v>
      </c>
      <c r="C27" s="78" t="s">
        <v>1036</v>
      </c>
      <c r="D27" s="175" t="s">
        <v>1024</v>
      </c>
      <c r="G27" s="170"/>
      <c r="H27" s="186"/>
      <c r="I27" s="175"/>
      <c r="J27" s="192">
        <v>5</v>
      </c>
      <c r="K27" s="170"/>
      <c r="L27" s="185" t="s">
        <v>1037</v>
      </c>
      <c r="M27" s="170"/>
      <c r="N27" s="170"/>
      <c r="O27" s="193" t="s">
        <v>1024</v>
      </c>
      <c r="P27" s="170"/>
      <c r="Q27" s="184">
        <v>34</v>
      </c>
      <c r="R27" s="177" t="str">
        <f t="shared" si="1"/>
        <v>II-0001.0034</v>
      </c>
      <c r="S27" s="170" t="str">
        <f t="shared" si="3"/>
        <v xml:space="preserve"> Ø12</v>
      </c>
    </row>
    <row r="28" spans="1:19">
      <c r="A28" s="176">
        <v>35</v>
      </c>
      <c r="B28" s="177" t="s">
        <v>1064</v>
      </c>
      <c r="C28" s="78" t="s">
        <v>1039</v>
      </c>
      <c r="D28" s="175" t="s">
        <v>1024</v>
      </c>
      <c r="G28" s="170"/>
      <c r="H28" s="186"/>
      <c r="I28" s="175"/>
      <c r="J28" s="192">
        <v>6</v>
      </c>
      <c r="K28" s="170"/>
      <c r="L28" s="185" t="s">
        <v>1040</v>
      </c>
      <c r="M28" s="170"/>
      <c r="N28" s="170"/>
      <c r="O28" s="193" t="s">
        <v>1024</v>
      </c>
      <c r="P28" s="170"/>
      <c r="Q28" s="184">
        <v>35</v>
      </c>
      <c r="R28" s="177" t="str">
        <f t="shared" si="1"/>
        <v>II-0001.0035</v>
      </c>
      <c r="S28" s="170" t="str">
        <f t="shared" si="3"/>
        <v xml:space="preserve"> Ø16</v>
      </c>
    </row>
    <row r="29" spans="1:19">
      <c r="A29" s="176">
        <v>36</v>
      </c>
      <c r="B29" s="177" t="s">
        <v>1065</v>
      </c>
      <c r="C29" s="78" t="s">
        <v>1042</v>
      </c>
      <c r="D29" s="175" t="s">
        <v>1024</v>
      </c>
      <c r="G29" s="170"/>
      <c r="H29" s="186"/>
      <c r="I29" s="175"/>
      <c r="J29" s="192">
        <v>7</v>
      </c>
      <c r="K29" s="170"/>
      <c r="L29" s="185" t="s">
        <v>1043</v>
      </c>
      <c r="M29" s="170"/>
      <c r="N29" s="170"/>
      <c r="O29" s="193" t="s">
        <v>1024</v>
      </c>
      <c r="P29" s="170"/>
      <c r="Q29" s="184">
        <v>36</v>
      </c>
      <c r="R29" s="177" t="str">
        <f t="shared" si="1"/>
        <v>II-0001.0036</v>
      </c>
      <c r="S29" s="170" t="str">
        <f t="shared" si="3"/>
        <v xml:space="preserve"> Ø18</v>
      </c>
    </row>
    <row r="30" spans="1:19" ht="15.75" thickBot="1">
      <c r="A30" s="176">
        <v>37</v>
      </c>
      <c r="B30" s="177" t="s">
        <v>1066</v>
      </c>
      <c r="C30" s="78" t="s">
        <v>1045</v>
      </c>
      <c r="D30" s="175" t="s">
        <v>1024</v>
      </c>
      <c r="G30" s="170"/>
      <c r="H30" s="201"/>
      <c r="I30" s="202"/>
      <c r="J30" s="203">
        <v>8</v>
      </c>
      <c r="K30" s="204"/>
      <c r="L30" s="205" t="s">
        <v>1046</v>
      </c>
      <c r="M30" s="204"/>
      <c r="N30" s="204"/>
      <c r="O30" s="206" t="s">
        <v>1024</v>
      </c>
      <c r="P30" s="170"/>
      <c r="Q30" s="184">
        <v>37</v>
      </c>
      <c r="R30" s="177" t="str">
        <f t="shared" si="1"/>
        <v>II-0001.0037</v>
      </c>
      <c r="S30" s="170" t="str">
        <f t="shared" si="3"/>
        <v xml:space="preserve"> Ø20</v>
      </c>
    </row>
    <row r="31" spans="1:19" ht="16.5" thickTop="1" thickBot="1">
      <c r="A31" s="176"/>
      <c r="B31" s="177"/>
      <c r="C31" s="78"/>
      <c r="D31" s="175"/>
      <c r="G31" s="170"/>
      <c r="H31" s="186"/>
      <c r="I31" s="175"/>
      <c r="J31" s="175"/>
      <c r="K31" s="170"/>
      <c r="L31" s="185"/>
      <c r="M31" s="170"/>
      <c r="N31" s="170"/>
      <c r="O31" s="207"/>
      <c r="P31" s="170"/>
      <c r="Q31" s="184"/>
      <c r="R31" s="177"/>
      <c r="S31" s="170"/>
    </row>
    <row r="32" spans="1:19" ht="15.75" thickTop="1">
      <c r="A32" s="176">
        <v>2</v>
      </c>
      <c r="B32" s="177" t="s">
        <v>1067</v>
      </c>
      <c r="C32" s="78" t="s">
        <v>1068</v>
      </c>
      <c r="D32" s="175"/>
      <c r="G32" s="170"/>
      <c r="H32" s="208">
        <v>2</v>
      </c>
      <c r="I32" s="209"/>
      <c r="J32" s="210"/>
      <c r="K32" s="734" t="s">
        <v>1068</v>
      </c>
      <c r="L32" s="734"/>
      <c r="M32" s="734"/>
      <c r="N32" s="734"/>
      <c r="O32" s="211"/>
      <c r="P32" s="170"/>
      <c r="Q32" s="184">
        <f>H32</f>
        <v>2</v>
      </c>
      <c r="R32" s="175" t="str">
        <f>CONCATENATE("II-",TEXT(Q32,"0000"))</f>
        <v>II-0002</v>
      </c>
      <c r="S32" s="185" t="str">
        <f>K32</f>
        <v>ABOVEDAMIENTO  REACONDICIONAMIENTO</v>
      </c>
    </row>
    <row r="33" spans="1:19" ht="15.75" thickBot="1">
      <c r="A33" s="176">
        <v>1</v>
      </c>
      <c r="B33" s="177" t="s">
        <v>1069</v>
      </c>
      <c r="C33" s="78" t="s">
        <v>1070</v>
      </c>
      <c r="D33" s="175" t="s">
        <v>5</v>
      </c>
      <c r="G33" s="170"/>
      <c r="H33" s="212"/>
      <c r="I33" s="213" t="s">
        <v>1020</v>
      </c>
      <c r="J33" s="214"/>
      <c r="K33" s="215" t="s">
        <v>1071</v>
      </c>
      <c r="L33" s="216"/>
      <c r="M33" s="216"/>
      <c r="N33" s="216"/>
      <c r="O33" s="217" t="s">
        <v>5</v>
      </c>
      <c r="P33" s="170"/>
      <c r="Q33" s="184">
        <v>1</v>
      </c>
      <c r="R33" s="177" t="str">
        <f>CONCATENATE($R$32,".",TEXT(Q33,"0000"))</f>
        <v>II-0002.0001</v>
      </c>
      <c r="S33" s="170" t="str">
        <f>CONCATENATE($K$33," ",L33)</f>
        <v xml:space="preserve">V-384 </v>
      </c>
    </row>
    <row r="34" spans="1:19" ht="16.5" thickTop="1" thickBot="1">
      <c r="A34" s="176"/>
      <c r="B34" s="169"/>
      <c r="C34" s="78"/>
      <c r="D34" s="175"/>
      <c r="G34" s="170"/>
      <c r="H34" s="186"/>
      <c r="I34" s="175"/>
      <c r="J34" s="175"/>
      <c r="K34" s="218"/>
      <c r="L34" s="170"/>
      <c r="M34" s="170"/>
      <c r="N34" s="170"/>
      <c r="O34" s="207"/>
      <c r="P34" s="170"/>
      <c r="Q34" s="170"/>
      <c r="R34" s="170"/>
      <c r="S34" s="170"/>
    </row>
    <row r="35" spans="1:19" ht="15.75" thickTop="1">
      <c r="A35" s="176">
        <v>3</v>
      </c>
      <c r="B35" s="169" t="s">
        <v>1072</v>
      </c>
      <c r="C35" s="78" t="s">
        <v>1073</v>
      </c>
      <c r="D35" s="175"/>
      <c r="G35" s="170"/>
      <c r="H35" s="208">
        <v>3</v>
      </c>
      <c r="I35" s="210"/>
      <c r="J35" s="210"/>
      <c r="K35" s="219" t="s">
        <v>1073</v>
      </c>
      <c r="L35" s="220"/>
      <c r="M35" s="220"/>
      <c r="N35" s="220"/>
      <c r="O35" s="211"/>
      <c r="P35" s="170"/>
      <c r="Q35" s="184">
        <f>H35</f>
        <v>3</v>
      </c>
      <c r="R35" s="175" t="str">
        <f>CONCATENATE("II-",TEXT(Q35,"0000"))</f>
        <v>II-0003</v>
      </c>
      <c r="S35" s="185" t="str">
        <f>K35</f>
        <v>ALAMBRADO</v>
      </c>
    </row>
    <row r="36" spans="1:19">
      <c r="A36" s="176"/>
      <c r="B36" s="169"/>
      <c r="C36" s="194"/>
      <c r="D36" s="175"/>
      <c r="G36" s="170"/>
      <c r="H36" s="221"/>
      <c r="I36" s="187" t="s">
        <v>1020</v>
      </c>
      <c r="J36" s="188"/>
      <c r="K36" s="218" t="s">
        <v>1074</v>
      </c>
      <c r="L36" s="170"/>
      <c r="M36" s="170"/>
      <c r="N36" s="170"/>
      <c r="O36" s="222"/>
      <c r="P36" s="170"/>
      <c r="Q36" s="170"/>
      <c r="R36" s="170"/>
      <c r="S36" s="170"/>
    </row>
    <row r="37" spans="1:19">
      <c r="A37" s="176">
        <v>1</v>
      </c>
      <c r="B37" s="177" t="s">
        <v>1075</v>
      </c>
      <c r="C37" s="78" t="s">
        <v>1076</v>
      </c>
      <c r="D37" s="175" t="s">
        <v>996</v>
      </c>
      <c r="G37" s="170"/>
      <c r="H37" s="186"/>
      <c r="I37" s="175"/>
      <c r="J37" s="192">
        <v>1</v>
      </c>
      <c r="K37" s="170"/>
      <c r="L37" s="218" t="s">
        <v>1020</v>
      </c>
      <c r="M37" s="223"/>
      <c r="N37" s="170"/>
      <c r="O37" s="207" t="s">
        <v>996</v>
      </c>
      <c r="P37" s="170"/>
      <c r="Q37" s="184">
        <v>1</v>
      </c>
      <c r="R37" s="177" t="str">
        <f>CONCATENATE($R$35,".",TEXT(Q37,"0000"))</f>
        <v>II-0003.0001</v>
      </c>
      <c r="S37" s="170" t="str">
        <f>CONCATENATE($K$36," - TIPO ",L37)</f>
        <v>H-2840-I - TIPO A</v>
      </c>
    </row>
    <row r="38" spans="1:19">
      <c r="A38" s="176">
        <v>2</v>
      </c>
      <c r="B38" s="177" t="s">
        <v>1077</v>
      </c>
      <c r="C38" s="78" t="s">
        <v>1078</v>
      </c>
      <c r="D38" s="175" t="s">
        <v>996</v>
      </c>
      <c r="G38" s="170"/>
      <c r="H38" s="186"/>
      <c r="I38" s="175"/>
      <c r="J38" s="192">
        <v>2</v>
      </c>
      <c r="K38" s="170"/>
      <c r="L38" s="218" t="s">
        <v>1047</v>
      </c>
      <c r="M38" s="223"/>
      <c r="N38" s="170"/>
      <c r="O38" s="207" t="s">
        <v>996</v>
      </c>
      <c r="P38" s="170"/>
      <c r="Q38" s="184">
        <v>2</v>
      </c>
      <c r="R38" s="177" t="str">
        <f t="shared" ref="R38:R42" si="4">CONCATENATE($R$35,".",TEXT(Q38,"0000"))</f>
        <v>II-0003.0002</v>
      </c>
      <c r="S38" s="170" t="str">
        <f t="shared" ref="S38:S40" si="5">CONCATENATE($K$36," - TIPO ",L38)</f>
        <v>H-2840-I - TIPO B</v>
      </c>
    </row>
    <row r="39" spans="1:19">
      <c r="A39" s="176">
        <v>3</v>
      </c>
      <c r="B39" s="177" t="s">
        <v>1079</v>
      </c>
      <c r="C39" s="78" t="s">
        <v>1080</v>
      </c>
      <c r="D39" s="175" t="s">
        <v>996</v>
      </c>
      <c r="G39" s="170"/>
      <c r="H39" s="186"/>
      <c r="I39" s="175"/>
      <c r="J39" s="192">
        <v>3</v>
      </c>
      <c r="K39" s="170"/>
      <c r="L39" s="218" t="s">
        <v>1057</v>
      </c>
      <c r="M39" s="223"/>
      <c r="N39" s="170"/>
      <c r="O39" s="207" t="s">
        <v>996</v>
      </c>
      <c r="P39" s="170"/>
      <c r="Q39" s="184">
        <v>3</v>
      </c>
      <c r="R39" s="177" t="str">
        <f t="shared" si="4"/>
        <v>II-0003.0003</v>
      </c>
      <c r="S39" s="170" t="str">
        <f t="shared" si="5"/>
        <v>H-2840-I - TIPO C</v>
      </c>
    </row>
    <row r="40" spans="1:19">
      <c r="A40" s="176">
        <v>4</v>
      </c>
      <c r="B40" s="169" t="s">
        <v>1081</v>
      </c>
      <c r="C40" s="78" t="s">
        <v>1082</v>
      </c>
      <c r="D40" s="175" t="s">
        <v>996</v>
      </c>
      <c r="G40" s="170"/>
      <c r="H40" s="186"/>
      <c r="I40" s="200"/>
      <c r="J40" s="195">
        <v>4</v>
      </c>
      <c r="K40" s="196"/>
      <c r="L40" s="224" t="s">
        <v>1083</v>
      </c>
      <c r="M40" s="225"/>
      <c r="N40" s="196"/>
      <c r="O40" s="226" t="s">
        <v>996</v>
      </c>
      <c r="P40" s="170"/>
      <c r="Q40" s="184">
        <v>4</v>
      </c>
      <c r="R40" s="177" t="str">
        <f t="shared" si="4"/>
        <v>II-0003.0004</v>
      </c>
      <c r="S40" s="170" t="str">
        <f t="shared" si="5"/>
        <v>H-2840-I - TIPO D</v>
      </c>
    </row>
    <row r="41" spans="1:19">
      <c r="A41" s="176">
        <v>5</v>
      </c>
      <c r="B41" s="177" t="s">
        <v>1084</v>
      </c>
      <c r="C41" s="78" t="s">
        <v>1085</v>
      </c>
      <c r="D41" s="175" t="s">
        <v>996</v>
      </c>
      <c r="G41" s="170"/>
      <c r="H41" s="186"/>
      <c r="I41" s="195" t="s">
        <v>1047</v>
      </c>
      <c r="J41" s="200"/>
      <c r="K41" s="227" t="s">
        <v>1085</v>
      </c>
      <c r="L41" s="228"/>
      <c r="M41" s="228"/>
      <c r="N41" s="228"/>
      <c r="O41" s="229" t="s">
        <v>996</v>
      </c>
      <c r="P41" s="170"/>
      <c r="Q41" s="184">
        <v>5</v>
      </c>
      <c r="R41" s="177" t="str">
        <f t="shared" si="4"/>
        <v>II-0003.0005</v>
      </c>
      <c r="S41" s="170" t="str">
        <f>CONCATENATE($E$36,K41)</f>
        <v>OLIMPICO H-9830</v>
      </c>
    </row>
    <row r="42" spans="1:19" ht="15.75" thickBot="1">
      <c r="A42" s="176">
        <v>6</v>
      </c>
      <c r="B42" s="177" t="s">
        <v>1086</v>
      </c>
      <c r="C42" s="78" t="s">
        <v>1087</v>
      </c>
      <c r="D42" s="175" t="s">
        <v>996</v>
      </c>
      <c r="G42" s="170"/>
      <c r="H42" s="201"/>
      <c r="I42" s="203" t="s">
        <v>1057</v>
      </c>
      <c r="J42" s="214"/>
      <c r="K42" s="215" t="s">
        <v>1087</v>
      </c>
      <c r="L42" s="216"/>
      <c r="M42" s="216"/>
      <c r="N42" s="216"/>
      <c r="O42" s="217" t="s">
        <v>996</v>
      </c>
      <c r="P42" s="170"/>
      <c r="Q42" s="184">
        <v>6</v>
      </c>
      <c r="R42" s="177" t="str">
        <f t="shared" si="4"/>
        <v>II-0003.0006</v>
      </c>
      <c r="S42" s="170" t="str">
        <f>CONCATENATE($E$36,K42)</f>
        <v>TRAZADO C/ REPOSICION  (%)</v>
      </c>
    </row>
    <row r="43" spans="1:19" ht="15.75" thickTop="1">
      <c r="A43" s="176">
        <v>7</v>
      </c>
      <c r="B43" s="177" t="s">
        <v>1088</v>
      </c>
      <c r="C43" s="78" t="s">
        <v>1089</v>
      </c>
      <c r="D43" s="175" t="s">
        <v>996</v>
      </c>
      <c r="G43" s="170"/>
      <c r="H43" s="186"/>
      <c r="I43" s="175"/>
      <c r="J43" s="175"/>
      <c r="K43" s="218"/>
      <c r="L43" s="170"/>
      <c r="M43" s="170"/>
      <c r="N43" s="170"/>
      <c r="O43" s="207"/>
      <c r="P43" s="170"/>
      <c r="Q43" s="184"/>
      <c r="R43" s="177"/>
      <c r="S43" s="170"/>
    </row>
    <row r="44" spans="1:19">
      <c r="A44" s="176"/>
      <c r="B44" s="177"/>
      <c r="C44" s="78"/>
      <c r="D44" s="175"/>
      <c r="G44" s="170"/>
      <c r="H44" s="186"/>
      <c r="I44" s="175"/>
      <c r="J44" s="175"/>
      <c r="K44" s="218"/>
      <c r="L44" s="170"/>
      <c r="M44" s="170"/>
      <c r="N44" s="170"/>
      <c r="O44" s="207"/>
      <c r="P44" s="170"/>
      <c r="Q44" s="184"/>
      <c r="R44" s="177"/>
      <c r="S44" s="170"/>
    </row>
    <row r="45" spans="1:19">
      <c r="A45" s="176">
        <v>4</v>
      </c>
      <c r="B45" s="169" t="s">
        <v>1090</v>
      </c>
      <c r="C45" s="78" t="s">
        <v>1091</v>
      </c>
      <c r="D45" s="175"/>
      <c r="G45" s="170"/>
      <c r="H45" s="208">
        <v>4</v>
      </c>
      <c r="I45" s="210"/>
      <c r="J45" s="210"/>
      <c r="K45" s="735" t="s">
        <v>1091</v>
      </c>
      <c r="L45" s="735"/>
      <c r="M45" s="735"/>
      <c r="N45" s="735"/>
      <c r="O45" s="230"/>
      <c r="P45" s="170"/>
      <c r="Q45" s="184">
        <f>H45</f>
        <v>4</v>
      </c>
      <c r="R45" s="175" t="str">
        <f>CONCATENATE("II-",TEXT(Q45,"0000"))</f>
        <v>II-0004</v>
      </c>
      <c r="S45" s="185" t="str">
        <f>K45</f>
        <v>ALCANTARILLAS METALICAS ACERO CORRUGADO</v>
      </c>
    </row>
    <row r="46" spans="1:19">
      <c r="A46" s="176"/>
      <c r="B46" s="177"/>
      <c r="C46" s="78"/>
      <c r="D46" s="175"/>
      <c r="G46" s="170"/>
      <c r="H46" s="221"/>
      <c r="I46" s="187" t="s">
        <v>1020</v>
      </c>
      <c r="J46" s="188"/>
      <c r="K46" s="189" t="s">
        <v>1092</v>
      </c>
      <c r="L46" s="190"/>
      <c r="M46" s="190"/>
      <c r="N46" s="190"/>
      <c r="O46" s="231"/>
      <c r="P46" s="170"/>
      <c r="Q46" s="170"/>
      <c r="R46" s="170"/>
      <c r="S46" s="170"/>
    </row>
    <row r="47" spans="1:19">
      <c r="A47" s="176">
        <v>1</v>
      </c>
      <c r="B47" s="177" t="s">
        <v>1093</v>
      </c>
      <c r="C47" s="78" t="s">
        <v>1094</v>
      </c>
      <c r="D47" s="175" t="s">
        <v>996</v>
      </c>
      <c r="G47" s="170"/>
      <c r="H47" s="186"/>
      <c r="I47" s="175"/>
      <c r="J47" s="192">
        <v>1</v>
      </c>
      <c r="K47" s="170"/>
      <c r="L47" s="185" t="s">
        <v>1095</v>
      </c>
      <c r="M47" s="170"/>
      <c r="N47" s="170"/>
      <c r="O47" s="207" t="s">
        <v>996</v>
      </c>
      <c r="P47" s="170"/>
      <c r="Q47" s="184">
        <v>1</v>
      </c>
      <c r="R47" s="177" t="str">
        <f>CONCATENATE($R$45,".",TEXT(Q47,"0000"))</f>
        <v>II-0004.0001</v>
      </c>
      <c r="S47" s="170" t="str">
        <f>CONCATENATE($K$46," - TIPO ",L47)</f>
        <v>H-10209 - TIPO H-9987</v>
      </c>
    </row>
    <row r="48" spans="1:19">
      <c r="A48" s="176">
        <v>2</v>
      </c>
      <c r="B48" s="169" t="s">
        <v>1096</v>
      </c>
      <c r="C48" s="78" t="s">
        <v>1097</v>
      </c>
      <c r="D48" s="175" t="s">
        <v>996</v>
      </c>
      <c r="G48" s="170"/>
      <c r="H48" s="186"/>
      <c r="I48" s="175"/>
      <c r="J48" s="195">
        <v>2</v>
      </c>
      <c r="K48" s="170"/>
      <c r="L48" s="185" t="s">
        <v>1098</v>
      </c>
      <c r="M48" s="170"/>
      <c r="N48" s="170"/>
      <c r="O48" s="207" t="s">
        <v>996</v>
      </c>
      <c r="P48" s="170"/>
      <c r="Q48" s="184">
        <v>2</v>
      </c>
      <c r="R48" s="177" t="str">
        <f>CONCATENATE($R$45,".",TEXT(Q48,"0000"))</f>
        <v>II-0004.0002</v>
      </c>
      <c r="S48" s="170" t="str">
        <f>CONCATENATE($K$46," - TIPO ",L48)</f>
        <v>H-10209 - TIPO H-2993</v>
      </c>
    </row>
    <row r="49" spans="1:19">
      <c r="A49" s="176"/>
      <c r="B49" s="169"/>
      <c r="C49" s="78"/>
      <c r="D49" s="175"/>
      <c r="G49" s="170"/>
      <c r="H49" s="186"/>
      <c r="I49" s="187" t="s">
        <v>1047</v>
      </c>
      <c r="J49" s="188"/>
      <c r="K49" s="189" t="s">
        <v>1099</v>
      </c>
      <c r="L49" s="190"/>
      <c r="M49" s="190"/>
      <c r="N49" s="190"/>
      <c r="O49" s="231"/>
      <c r="P49" s="170"/>
      <c r="Q49" s="170"/>
      <c r="R49" s="170"/>
      <c r="S49" s="170"/>
    </row>
    <row r="50" spans="1:19">
      <c r="A50" s="176">
        <v>3</v>
      </c>
      <c r="B50" s="169" t="s">
        <v>1100</v>
      </c>
      <c r="C50" s="194" t="s">
        <v>1101</v>
      </c>
      <c r="D50" s="175" t="s">
        <v>996</v>
      </c>
      <c r="G50" s="170"/>
      <c r="H50" s="186"/>
      <c r="I50" s="175"/>
      <c r="J50" s="192">
        <v>1</v>
      </c>
      <c r="K50" s="170"/>
      <c r="L50" s="185" t="s">
        <v>1095</v>
      </c>
      <c r="M50" s="170"/>
      <c r="N50" s="170"/>
      <c r="O50" s="207" t="s">
        <v>996</v>
      </c>
      <c r="P50" s="170"/>
      <c r="Q50" s="184">
        <v>3</v>
      </c>
      <c r="R50" s="177" t="str">
        <f>CONCATENATE($R$45,".",TEXT(Q50,"0000"))</f>
        <v>II-0004.0003</v>
      </c>
      <c r="S50" s="170" t="str">
        <f>CONCATENATE($K$49," - TIPO ",L50)</f>
        <v>H-10235 - TIPO H-9987</v>
      </c>
    </row>
    <row r="51" spans="1:19">
      <c r="A51" s="176">
        <v>4</v>
      </c>
      <c r="B51" s="177" t="s">
        <v>1102</v>
      </c>
      <c r="C51" s="78" t="s">
        <v>1103</v>
      </c>
      <c r="D51" s="175" t="s">
        <v>996</v>
      </c>
      <c r="G51" s="170"/>
      <c r="H51" s="186"/>
      <c r="I51" s="175"/>
      <c r="J51" s="195">
        <v>2</v>
      </c>
      <c r="K51" s="170"/>
      <c r="L51" s="185" t="s">
        <v>1098</v>
      </c>
      <c r="M51" s="170"/>
      <c r="N51" s="170"/>
      <c r="O51" s="207" t="s">
        <v>996</v>
      </c>
      <c r="P51" s="170"/>
      <c r="Q51" s="184">
        <v>4</v>
      </c>
      <c r="R51" s="177" t="str">
        <f>CONCATENATE($R$45,".",TEXT(Q51,"0000"))</f>
        <v>II-0004.0004</v>
      </c>
      <c r="S51" s="170" t="str">
        <f>CONCATENATE($K$49," - TIPO ",L51)</f>
        <v>H-10235 - TIPO H-2993</v>
      </c>
    </row>
    <row r="52" spans="1:19">
      <c r="A52" s="176"/>
      <c r="B52" s="177"/>
      <c r="C52" s="78"/>
      <c r="D52" s="175"/>
      <c r="G52" s="170"/>
      <c r="H52" s="186"/>
      <c r="I52" s="187" t="s">
        <v>1057</v>
      </c>
      <c r="J52" s="188"/>
      <c r="K52" s="189" t="s">
        <v>1104</v>
      </c>
      <c r="L52" s="190"/>
      <c r="M52" s="190"/>
      <c r="N52" s="190"/>
      <c r="O52" s="231"/>
      <c r="P52" s="170"/>
      <c r="Q52" s="170"/>
      <c r="R52" s="170"/>
      <c r="S52" s="170"/>
    </row>
    <row r="53" spans="1:19" ht="15.75" thickBot="1">
      <c r="A53" s="176">
        <v>5</v>
      </c>
      <c r="B53" s="177" t="s">
        <v>1105</v>
      </c>
      <c r="C53" s="78" t="s">
        <v>1106</v>
      </c>
      <c r="D53" s="175" t="s">
        <v>996</v>
      </c>
      <c r="G53" s="170"/>
      <c r="H53" s="232"/>
      <c r="I53" s="233"/>
      <c r="J53" s="234">
        <v>1</v>
      </c>
      <c r="K53" s="235"/>
      <c r="L53" s="236" t="s">
        <v>1107</v>
      </c>
      <c r="M53" s="235"/>
      <c r="N53" s="235"/>
      <c r="O53" s="237" t="s">
        <v>996</v>
      </c>
      <c r="P53" s="170"/>
      <c r="Q53" s="184">
        <v>5</v>
      </c>
      <c r="R53" s="177" t="str">
        <f>CONCATENATE($R$45,".",TEXT(Q53,"0000"))</f>
        <v>II-0004.0005</v>
      </c>
      <c r="S53" s="170" t="str">
        <f>CONCATENATE($K$52," - TIPO ",L53)</f>
        <v>H-10236 - TIPO H-2553</v>
      </c>
    </row>
    <row r="54" spans="1:19">
      <c r="A54" s="176"/>
      <c r="B54" s="177"/>
      <c r="C54" s="78"/>
      <c r="D54" s="175"/>
      <c r="G54" s="170"/>
      <c r="H54" s="238"/>
      <c r="I54" s="175"/>
      <c r="J54" s="175"/>
      <c r="K54" s="170"/>
      <c r="L54" s="185"/>
      <c r="M54" s="170"/>
      <c r="N54" s="170"/>
      <c r="O54" s="223"/>
      <c r="P54" s="170"/>
      <c r="Q54" s="170"/>
      <c r="R54" s="170"/>
      <c r="S54" s="170"/>
    </row>
    <row r="55" spans="1:19">
      <c r="A55" s="176">
        <v>4</v>
      </c>
      <c r="B55" s="177" t="s">
        <v>1090</v>
      </c>
      <c r="C55" s="78" t="s">
        <v>1091</v>
      </c>
      <c r="D55" s="175"/>
      <c r="G55" s="170"/>
      <c r="H55" s="208">
        <v>4</v>
      </c>
      <c r="I55" s="210"/>
      <c r="J55" s="210"/>
      <c r="K55" s="735" t="s">
        <v>1091</v>
      </c>
      <c r="L55" s="735"/>
      <c r="M55" s="735"/>
      <c r="N55" s="735"/>
      <c r="O55" s="230"/>
      <c r="P55" s="170"/>
      <c r="Q55" s="184">
        <f>H55</f>
        <v>4</v>
      </c>
      <c r="R55" s="175" t="str">
        <f>CONCATENATE("II-",TEXT(Q55,"0000"))</f>
        <v>II-0004</v>
      </c>
      <c r="S55" s="185" t="str">
        <f>K55</f>
        <v>ALCANTARILLAS METALICAS ACERO CORRUGADO</v>
      </c>
    </row>
    <row r="56" spans="1:19">
      <c r="A56" s="176"/>
      <c r="B56" s="177"/>
      <c r="C56" s="78"/>
      <c r="D56" s="175"/>
      <c r="G56" s="170"/>
      <c r="H56" s="186"/>
      <c r="I56" s="187" t="s">
        <v>1083</v>
      </c>
      <c r="J56" s="188"/>
      <c r="K56" s="185" t="s">
        <v>1048</v>
      </c>
      <c r="L56" s="170"/>
      <c r="M56" s="170"/>
      <c r="N56" s="170"/>
      <c r="O56" s="222"/>
      <c r="P56" s="170"/>
      <c r="Q56" s="170"/>
      <c r="R56" s="170"/>
      <c r="S56" s="170"/>
    </row>
    <row r="57" spans="1:19">
      <c r="A57" s="176">
        <v>10</v>
      </c>
      <c r="B57" s="177" t="s">
        <v>1108</v>
      </c>
      <c r="C57" s="78" t="s">
        <v>1109</v>
      </c>
      <c r="D57" s="175" t="s">
        <v>996</v>
      </c>
      <c r="G57" s="170"/>
      <c r="H57" s="186"/>
      <c r="I57" s="175"/>
      <c r="J57" s="192">
        <v>1</v>
      </c>
      <c r="K57" s="170"/>
      <c r="L57" s="185" t="s">
        <v>1110</v>
      </c>
      <c r="M57" s="170"/>
      <c r="N57" s="170"/>
      <c r="O57" s="222" t="s">
        <v>996</v>
      </c>
      <c r="P57" s="170"/>
      <c r="Q57" s="184">
        <v>10</v>
      </c>
      <c r="R57" s="177" t="str">
        <f>CONCATENATE($R$45,".",TEXT(Q57,"0000"))</f>
        <v>II-0004.0010</v>
      </c>
      <c r="S57" s="170" t="str">
        <f>CONCATENATE($K$56," - TIPO ",L57)</f>
        <v>ESPECIAL - TIPO BOVEDA PERFIL ALTO Z-6584</v>
      </c>
    </row>
    <row r="58" spans="1:19">
      <c r="A58" s="176">
        <v>11</v>
      </c>
      <c r="B58" s="177" t="s">
        <v>1111</v>
      </c>
      <c r="C58" s="78" t="s">
        <v>1112</v>
      </c>
      <c r="D58" s="175" t="s">
        <v>996</v>
      </c>
      <c r="G58" s="170"/>
      <c r="H58" s="186"/>
      <c r="I58" s="175"/>
      <c r="J58" s="192">
        <v>2</v>
      </c>
      <c r="K58" s="170"/>
      <c r="L58" s="185" t="s">
        <v>1113</v>
      </c>
      <c r="M58" s="170"/>
      <c r="N58" s="170"/>
      <c r="O58" s="222" t="s">
        <v>996</v>
      </c>
      <c r="P58" s="170"/>
      <c r="Q58" s="184">
        <v>11</v>
      </c>
      <c r="R58" s="177" t="str">
        <f t="shared" ref="R58:R67" si="6">CONCATENATE($R$45,".",TEXT(Q58,"0000"))</f>
        <v>II-0004.0011</v>
      </c>
      <c r="S58" s="170" t="str">
        <f t="shared" ref="S58:S61" si="7">CONCATENATE($K$56," - TIPO ",L58)</f>
        <v>ESPECIAL - TIPO BOVEDA PERFIL BAJO Z-6584</v>
      </c>
    </row>
    <row r="59" spans="1:19">
      <c r="A59" s="176">
        <v>12</v>
      </c>
      <c r="B59" s="169" t="s">
        <v>1114</v>
      </c>
      <c r="C59" s="78" t="s">
        <v>1115</v>
      </c>
      <c r="D59" s="175" t="s">
        <v>996</v>
      </c>
      <c r="G59" s="170"/>
      <c r="H59" s="186"/>
      <c r="I59" s="175"/>
      <c r="J59" s="192">
        <v>3</v>
      </c>
      <c r="K59" s="170"/>
      <c r="L59" s="185" t="s">
        <v>1116</v>
      </c>
      <c r="M59" s="170"/>
      <c r="N59" s="170"/>
      <c r="O59" s="222" t="s">
        <v>996</v>
      </c>
      <c r="P59" s="170"/>
      <c r="Q59" s="184">
        <v>12</v>
      </c>
      <c r="R59" s="177" t="str">
        <f t="shared" si="6"/>
        <v>II-0004.0012</v>
      </c>
      <c r="S59" s="170" t="str">
        <f t="shared" si="7"/>
        <v>ESPECIAL - TIPO CIRCULAR</v>
      </c>
    </row>
    <row r="60" spans="1:19">
      <c r="A60" s="176">
        <v>13</v>
      </c>
      <c r="B60" s="169" t="s">
        <v>1117</v>
      </c>
      <c r="C60" s="78" t="s">
        <v>1118</v>
      </c>
      <c r="D60" s="175" t="s">
        <v>996</v>
      </c>
      <c r="G60" s="170"/>
      <c r="H60" s="186"/>
      <c r="I60" s="175"/>
      <c r="J60" s="192">
        <v>4</v>
      </c>
      <c r="K60" s="170"/>
      <c r="L60" s="185" t="s">
        <v>1119</v>
      </c>
      <c r="M60" s="170"/>
      <c r="N60" s="170"/>
      <c r="O60" s="222" t="s">
        <v>996</v>
      </c>
      <c r="P60" s="170"/>
      <c r="Q60" s="184">
        <v>13</v>
      </c>
      <c r="R60" s="177" t="str">
        <f t="shared" si="6"/>
        <v>II-0004.0013</v>
      </c>
      <c r="S60" s="170" t="str">
        <f t="shared" si="7"/>
        <v>ESPECIAL - TIPO ELIPTICA</v>
      </c>
    </row>
    <row r="61" spans="1:19">
      <c r="A61" s="176">
        <v>14</v>
      </c>
      <c r="B61" s="177" t="s">
        <v>1120</v>
      </c>
      <c r="C61" s="78" t="s">
        <v>1121</v>
      </c>
      <c r="D61" s="175" t="s">
        <v>996</v>
      </c>
      <c r="G61" s="170"/>
      <c r="H61" s="186"/>
      <c r="I61" s="239"/>
      <c r="J61" s="195">
        <v>5</v>
      </c>
      <c r="K61" s="196"/>
      <c r="L61" s="197" t="s">
        <v>1122</v>
      </c>
      <c r="M61" s="196"/>
      <c r="N61" s="196"/>
      <c r="O61" s="240" t="s">
        <v>996</v>
      </c>
      <c r="P61" s="170"/>
      <c r="Q61" s="184">
        <v>14</v>
      </c>
      <c r="R61" s="177" t="str">
        <f t="shared" si="6"/>
        <v>II-0004.0014</v>
      </c>
      <c r="S61" s="170" t="str">
        <f t="shared" si="7"/>
        <v>ESPECIAL - TIPO ELIPTICA P/ FERROCARRIL Z-6584</v>
      </c>
    </row>
    <row r="62" spans="1:19">
      <c r="A62" s="176">
        <v>20</v>
      </c>
      <c r="B62" s="177" t="s">
        <v>1123</v>
      </c>
      <c r="C62" s="78" t="s">
        <v>1124</v>
      </c>
      <c r="D62" s="175" t="s">
        <v>996</v>
      </c>
      <c r="G62" s="170"/>
      <c r="H62" s="241"/>
      <c r="I62" s="200" t="s">
        <v>1125</v>
      </c>
      <c r="J62" s="200"/>
      <c r="K62" s="242" t="s">
        <v>1124</v>
      </c>
      <c r="L62" s="243"/>
      <c r="M62" s="243"/>
      <c r="N62" s="243"/>
      <c r="O62" s="240" t="s">
        <v>996</v>
      </c>
      <c r="P62" s="170"/>
      <c r="Q62" s="184">
        <v>20</v>
      </c>
      <c r="R62" s="177" t="str">
        <f t="shared" si="6"/>
        <v>II-0004.0020</v>
      </c>
      <c r="S62" s="170" t="str">
        <f>CONCATENATE(K62)</f>
        <v>PINTURA</v>
      </c>
    </row>
    <row r="63" spans="1:19">
      <c r="A63" s="176">
        <v>21</v>
      </c>
      <c r="B63" s="169" t="s">
        <v>1126</v>
      </c>
      <c r="C63" s="78" t="s">
        <v>1127</v>
      </c>
      <c r="D63" s="175" t="s">
        <v>996</v>
      </c>
      <c r="G63" s="170"/>
      <c r="H63" s="241"/>
      <c r="I63" s="200" t="s">
        <v>1128</v>
      </c>
      <c r="J63" s="200"/>
      <c r="K63" s="736" t="s">
        <v>1127</v>
      </c>
      <c r="L63" s="736"/>
      <c r="M63" s="243"/>
      <c r="N63" s="243"/>
      <c r="O63" s="244" t="s">
        <v>996</v>
      </c>
      <c r="P63" s="170"/>
      <c r="Q63" s="184">
        <v>21</v>
      </c>
      <c r="R63" s="177" t="str">
        <f t="shared" si="6"/>
        <v>II-0004.0021</v>
      </c>
      <c r="S63" s="170" t="str">
        <f t="shared" ref="S63:S67" si="8">CONCATENATE(K63)</f>
        <v>COLOCACION</v>
      </c>
    </row>
    <row r="64" spans="1:19">
      <c r="A64" s="176">
        <v>22</v>
      </c>
      <c r="B64" s="177" t="s">
        <v>1129</v>
      </c>
      <c r="C64" s="78" t="s">
        <v>1130</v>
      </c>
      <c r="D64" s="175" t="s">
        <v>1131</v>
      </c>
      <c r="G64" s="170"/>
      <c r="H64" s="241"/>
      <c r="I64" s="200" t="s">
        <v>1132</v>
      </c>
      <c r="J64" s="200"/>
      <c r="K64" s="736" t="s">
        <v>1130</v>
      </c>
      <c r="L64" s="736"/>
      <c r="M64" s="243"/>
      <c r="N64" s="243"/>
      <c r="O64" s="244" t="s">
        <v>1131</v>
      </c>
      <c r="P64" s="170"/>
      <c r="Q64" s="184">
        <v>22</v>
      </c>
      <c r="R64" s="177" t="str">
        <f t="shared" si="6"/>
        <v>II-0004.0022</v>
      </c>
      <c r="S64" s="170" t="str">
        <f t="shared" si="8"/>
        <v>RELLENO DE SOCAVACION</v>
      </c>
    </row>
    <row r="65" spans="1:19">
      <c r="A65" s="176">
        <v>23</v>
      </c>
      <c r="B65" s="177" t="s">
        <v>1133</v>
      </c>
      <c r="C65" s="78" t="s">
        <v>1134</v>
      </c>
      <c r="D65" s="175" t="s">
        <v>996</v>
      </c>
      <c r="G65" s="170"/>
      <c r="H65" s="241"/>
      <c r="I65" s="187" t="s">
        <v>1135</v>
      </c>
      <c r="J65" s="228"/>
      <c r="K65" s="245" t="s">
        <v>1134</v>
      </c>
      <c r="L65" s="228"/>
      <c r="M65" s="228"/>
      <c r="N65" s="228"/>
      <c r="O65" s="244" t="s">
        <v>996</v>
      </c>
      <c r="P65" s="170"/>
      <c r="Q65" s="184">
        <v>23</v>
      </c>
      <c r="R65" s="177" t="str">
        <f t="shared" si="6"/>
        <v>II-0004.0023</v>
      </c>
      <c r="S65" s="170" t="str">
        <f t="shared" si="8"/>
        <v>REPARACION</v>
      </c>
    </row>
    <row r="66" spans="1:19">
      <c r="A66" s="176">
        <v>24</v>
      </c>
      <c r="B66" s="169" t="s">
        <v>1136</v>
      </c>
      <c r="C66" s="78" t="s">
        <v>1137</v>
      </c>
      <c r="D66" s="175" t="s">
        <v>996</v>
      </c>
      <c r="G66" s="170"/>
      <c r="H66" s="241"/>
      <c r="I66" s="187" t="s">
        <v>888</v>
      </c>
      <c r="J66" s="228"/>
      <c r="K66" s="245" t="s">
        <v>1137</v>
      </c>
      <c r="L66" s="228"/>
      <c r="M66" s="228"/>
      <c r="N66" s="228"/>
      <c r="O66" s="244" t="s">
        <v>996</v>
      </c>
      <c r="P66" s="170"/>
      <c r="Q66" s="184">
        <v>24</v>
      </c>
      <c r="R66" s="177" t="str">
        <f t="shared" si="6"/>
        <v>II-0004.0024</v>
      </c>
      <c r="S66" s="170" t="str">
        <f t="shared" si="8"/>
        <v>RETIRO Y RECOLOCACION</v>
      </c>
    </row>
    <row r="67" spans="1:19" ht="15.75" thickBot="1">
      <c r="A67" s="176">
        <v>25</v>
      </c>
      <c r="B67" s="169" t="s">
        <v>1138</v>
      </c>
      <c r="C67" s="78" t="s">
        <v>1139</v>
      </c>
      <c r="D67" s="175" t="s">
        <v>996</v>
      </c>
      <c r="G67" s="170"/>
      <c r="H67" s="246"/>
      <c r="I67" s="213" t="s">
        <v>1140</v>
      </c>
      <c r="J67" s="216"/>
      <c r="K67" s="247" t="s">
        <v>1139</v>
      </c>
      <c r="L67" s="216"/>
      <c r="M67" s="216"/>
      <c r="N67" s="216"/>
      <c r="O67" s="248" t="s">
        <v>996</v>
      </c>
      <c r="P67" s="170"/>
      <c r="Q67" s="184">
        <v>25</v>
      </c>
      <c r="R67" s="177" t="str">
        <f t="shared" si="6"/>
        <v>II-0004.0025</v>
      </c>
      <c r="S67" s="170" t="str">
        <f t="shared" si="8"/>
        <v xml:space="preserve">RETIRO </v>
      </c>
    </row>
    <row r="68" spans="1:19" ht="16.5" thickTop="1" thickBot="1">
      <c r="A68" s="176"/>
      <c r="B68" s="169"/>
      <c r="C68" s="194"/>
      <c r="D68" s="175"/>
      <c r="G68" s="170"/>
      <c r="H68" s="186"/>
      <c r="I68" s="175"/>
      <c r="J68" s="170"/>
      <c r="K68" s="185"/>
      <c r="L68" s="170"/>
      <c r="M68" s="170"/>
      <c r="N68" s="170"/>
      <c r="O68" s="222"/>
      <c r="P68" s="170"/>
      <c r="Q68" s="184"/>
      <c r="R68" s="177"/>
      <c r="S68" s="170"/>
    </row>
    <row r="69" spans="1:19" ht="15.75" thickTop="1">
      <c r="A69" s="176">
        <v>5</v>
      </c>
      <c r="B69" s="177" t="s">
        <v>1141</v>
      </c>
      <c r="C69" s="78" t="s">
        <v>1142</v>
      </c>
      <c r="D69" s="175"/>
      <c r="G69" s="170"/>
      <c r="H69" s="208">
        <v>5</v>
      </c>
      <c r="I69" s="210"/>
      <c r="J69" s="220"/>
      <c r="K69" s="249" t="s">
        <v>1142</v>
      </c>
      <c r="L69" s="220"/>
      <c r="M69" s="220"/>
      <c r="N69" s="220"/>
      <c r="O69" s="230"/>
      <c r="P69" s="170"/>
      <c r="Q69" s="184">
        <f>H69</f>
        <v>5</v>
      </c>
      <c r="R69" s="175" t="str">
        <f>CONCATENATE("II-",TEXT(Q69,"0000"))</f>
        <v>II-0005</v>
      </c>
      <c r="S69" s="185" t="str">
        <f>K69</f>
        <v>ALCANTARILLAS HORMIGON</v>
      </c>
    </row>
    <row r="70" spans="1:19">
      <c r="A70" s="176"/>
      <c r="B70" s="177"/>
      <c r="C70" s="78"/>
      <c r="D70" s="175"/>
      <c r="G70" s="170"/>
      <c r="H70" s="186"/>
      <c r="I70" s="187" t="s">
        <v>1020</v>
      </c>
      <c r="J70" s="190"/>
      <c r="K70" s="185" t="s">
        <v>1116</v>
      </c>
      <c r="L70" s="170"/>
      <c r="M70" s="170"/>
      <c r="N70" s="170"/>
      <c r="O70" s="222"/>
      <c r="P70" s="170"/>
      <c r="Q70" s="170"/>
      <c r="R70" s="170"/>
      <c r="S70" s="170"/>
    </row>
    <row r="71" spans="1:19">
      <c r="A71" s="176">
        <v>1</v>
      </c>
      <c r="B71" s="177" t="s">
        <v>1143</v>
      </c>
      <c r="C71" s="78" t="s">
        <v>1144</v>
      </c>
      <c r="D71" s="175" t="s">
        <v>996</v>
      </c>
      <c r="G71" s="170"/>
      <c r="H71" s="186"/>
      <c r="I71" s="175"/>
      <c r="J71" s="192">
        <v>1</v>
      </c>
      <c r="K71" s="170"/>
      <c r="L71" s="185" t="s">
        <v>1145</v>
      </c>
      <c r="M71" s="170"/>
      <c r="N71" s="170"/>
      <c r="O71" s="222" t="s">
        <v>996</v>
      </c>
      <c r="P71" s="170"/>
      <c r="Q71" s="184">
        <v>1</v>
      </c>
      <c r="R71" s="177" t="str">
        <f>CONCATENATE($R$69,".",TEXT(Q71,"0000"))</f>
        <v>II-0005.0001</v>
      </c>
      <c r="S71" s="170" t="str">
        <f>CONCATENATE($K$70," - TIPO ",L71)</f>
        <v>CIRCULAR - TIPO A-82</v>
      </c>
    </row>
    <row r="72" spans="1:19">
      <c r="A72" s="176">
        <v>2</v>
      </c>
      <c r="B72" s="177" t="s">
        <v>1146</v>
      </c>
      <c r="C72" s="78" t="s">
        <v>1147</v>
      </c>
      <c r="D72" s="175" t="s">
        <v>996</v>
      </c>
      <c r="G72" s="170"/>
      <c r="H72" s="186"/>
      <c r="I72" s="200"/>
      <c r="J72" s="195">
        <v>2</v>
      </c>
      <c r="K72" s="196"/>
      <c r="L72" s="197" t="s">
        <v>1098</v>
      </c>
      <c r="M72" s="196"/>
      <c r="N72" s="196"/>
      <c r="O72" s="240" t="s">
        <v>996</v>
      </c>
      <c r="P72" s="170"/>
      <c r="Q72" s="184">
        <v>2</v>
      </c>
      <c r="R72" s="177" t="str">
        <f>CONCATENATE($R$69,".",TEXT(Q72,"0000"))</f>
        <v>II-0005.0002</v>
      </c>
      <c r="S72" s="170" t="str">
        <f>CONCATENATE($K$70," - TIPO ",L72)</f>
        <v>CIRCULAR - TIPO H-2993</v>
      </c>
    </row>
    <row r="73" spans="1:19">
      <c r="A73" s="176"/>
      <c r="B73" s="169"/>
      <c r="C73" s="78"/>
      <c r="D73" s="175" t="s">
        <v>996</v>
      </c>
      <c r="G73" s="170"/>
      <c r="H73" s="186"/>
      <c r="I73" s="195" t="s">
        <v>1047</v>
      </c>
      <c r="J73" s="175"/>
      <c r="K73" s="185" t="s">
        <v>1148</v>
      </c>
      <c r="L73" s="185"/>
      <c r="M73" s="170"/>
      <c r="N73" s="170"/>
      <c r="O73" s="222" t="s">
        <v>996</v>
      </c>
      <c r="P73" s="170"/>
      <c r="Q73" s="170"/>
      <c r="R73" s="170"/>
      <c r="S73" s="170"/>
    </row>
    <row r="74" spans="1:19">
      <c r="A74" s="176">
        <v>10</v>
      </c>
      <c r="B74" s="169" t="s">
        <v>1149</v>
      </c>
      <c r="C74" s="78" t="s">
        <v>1150</v>
      </c>
      <c r="D74" s="175" t="s">
        <v>996</v>
      </c>
      <c r="G74" s="170"/>
      <c r="H74" s="186"/>
      <c r="I74" s="175"/>
      <c r="J74" s="192">
        <v>1</v>
      </c>
      <c r="K74" s="170"/>
      <c r="L74" s="185" t="s">
        <v>1151</v>
      </c>
      <c r="M74" s="170"/>
      <c r="N74" s="170"/>
      <c r="O74" s="207" t="s">
        <v>996</v>
      </c>
      <c r="P74" s="170"/>
      <c r="Q74" s="184">
        <v>10</v>
      </c>
      <c r="R74" s="177" t="str">
        <f>CONCATENATE($R$69,".",TEXT(Q74,"0000"))</f>
        <v>II-0005.0010</v>
      </c>
      <c r="S74" s="170" t="str">
        <f>CONCATENATE($K$73," - TIPO ",L74)</f>
        <v>RECTANGULAR - TIPO H-1900-BIS-1</v>
      </c>
    </row>
    <row r="75" spans="1:19">
      <c r="A75" s="176">
        <v>11</v>
      </c>
      <c r="B75" s="169" t="s">
        <v>1152</v>
      </c>
      <c r="C75" s="194" t="s">
        <v>1153</v>
      </c>
      <c r="D75" s="175" t="s">
        <v>996</v>
      </c>
      <c r="G75" s="170"/>
      <c r="H75" s="186"/>
      <c r="I75" s="175"/>
      <c r="J75" s="192">
        <v>2</v>
      </c>
      <c r="K75" s="170"/>
      <c r="L75" s="185" t="s">
        <v>1154</v>
      </c>
      <c r="M75" s="170"/>
      <c r="N75" s="170"/>
      <c r="O75" s="207" t="s">
        <v>996</v>
      </c>
      <c r="P75" s="170"/>
      <c r="Q75" s="184">
        <v>11</v>
      </c>
      <c r="R75" s="177" t="str">
        <f t="shared" ref="R75:R90" si="9">CONCATENATE($R$69,".",TEXT(Q75,"0000"))</f>
        <v>II-0005.0011</v>
      </c>
      <c r="S75" s="170" t="str">
        <f t="shared" ref="S75:S85" si="10">CONCATENATE($K$73," - TIPO ",L75)</f>
        <v>RECTANGULAR - TIPO O-41211-I</v>
      </c>
    </row>
    <row r="76" spans="1:19">
      <c r="A76" s="176">
        <v>12</v>
      </c>
      <c r="B76" s="177" t="s">
        <v>1155</v>
      </c>
      <c r="C76" s="78" t="s">
        <v>1156</v>
      </c>
      <c r="D76" s="175" t="s">
        <v>996</v>
      </c>
      <c r="G76" s="170"/>
      <c r="H76" s="186"/>
      <c r="I76" s="175"/>
      <c r="J76" s="192">
        <v>3</v>
      </c>
      <c r="K76" s="170"/>
      <c r="L76" s="185" t="s">
        <v>1157</v>
      </c>
      <c r="M76" s="170"/>
      <c r="N76" s="170"/>
      <c r="O76" s="207" t="s">
        <v>996</v>
      </c>
      <c r="P76" s="170"/>
      <c r="Q76" s="184">
        <v>12</v>
      </c>
      <c r="R76" s="177" t="str">
        <f t="shared" si="9"/>
        <v>II-0005.0012</v>
      </c>
      <c r="S76" s="170" t="str">
        <f t="shared" si="10"/>
        <v>RECTANGULAR - TIPO Z-959</v>
      </c>
    </row>
    <row r="77" spans="1:19">
      <c r="A77" s="176">
        <v>13</v>
      </c>
      <c r="B77" s="177" t="s">
        <v>1158</v>
      </c>
      <c r="C77" s="78" t="s">
        <v>1159</v>
      </c>
      <c r="D77" s="175" t="s">
        <v>996</v>
      </c>
      <c r="G77" s="170"/>
      <c r="H77" s="186"/>
      <c r="I77" s="175"/>
      <c r="J77" s="192">
        <v>4</v>
      </c>
      <c r="K77" s="170"/>
      <c r="L77" s="185" t="s">
        <v>1160</v>
      </c>
      <c r="M77" s="170"/>
      <c r="N77" s="170"/>
      <c r="O77" s="207" t="s">
        <v>996</v>
      </c>
      <c r="P77" s="170"/>
      <c r="Q77" s="184">
        <v>13</v>
      </c>
      <c r="R77" s="177" t="str">
        <f t="shared" si="9"/>
        <v>II-0005.0013</v>
      </c>
      <c r="S77" s="170" t="str">
        <f t="shared" si="10"/>
        <v>RECTANGULAR - TIPO Z-2915-I</v>
      </c>
    </row>
    <row r="78" spans="1:19">
      <c r="A78" s="176">
        <v>14</v>
      </c>
      <c r="B78" s="177" t="s">
        <v>1161</v>
      </c>
      <c r="C78" s="78" t="s">
        <v>1162</v>
      </c>
      <c r="D78" s="175" t="s">
        <v>996</v>
      </c>
      <c r="G78" s="170"/>
      <c r="H78" s="186"/>
      <c r="I78" s="175"/>
      <c r="J78" s="192">
        <v>5</v>
      </c>
      <c r="K78" s="170"/>
      <c r="L78" s="185" t="s">
        <v>1163</v>
      </c>
      <c r="M78" s="170"/>
      <c r="N78" s="170"/>
      <c r="O78" s="207" t="s">
        <v>996</v>
      </c>
      <c r="P78" s="170"/>
      <c r="Q78" s="184">
        <v>14</v>
      </c>
      <c r="R78" s="177" t="str">
        <f t="shared" si="9"/>
        <v>II-0005.0014</v>
      </c>
      <c r="S78" s="170" t="str">
        <f t="shared" si="10"/>
        <v>RECTANGULAR - TIPO Z-2916-I</v>
      </c>
    </row>
    <row r="79" spans="1:19">
      <c r="A79" s="176">
        <v>15</v>
      </c>
      <c r="B79" s="177" t="s">
        <v>1164</v>
      </c>
      <c r="C79" s="78" t="s">
        <v>1165</v>
      </c>
      <c r="D79" s="175" t="s">
        <v>996</v>
      </c>
      <c r="G79" s="170"/>
      <c r="H79" s="186"/>
      <c r="I79" s="175"/>
      <c r="J79" s="192">
        <v>6</v>
      </c>
      <c r="K79" s="170"/>
      <c r="L79" s="185" t="s">
        <v>1166</v>
      </c>
      <c r="M79" s="170"/>
      <c r="N79" s="170"/>
      <c r="O79" s="207" t="s">
        <v>996</v>
      </c>
      <c r="P79" s="170"/>
      <c r="Q79" s="184">
        <v>15</v>
      </c>
      <c r="R79" s="177" t="str">
        <f t="shared" si="9"/>
        <v>II-0005.0015</v>
      </c>
      <c r="S79" s="170" t="str">
        <f t="shared" si="10"/>
        <v>RECTANGULAR - TIPO A-505</v>
      </c>
    </row>
    <row r="80" spans="1:19">
      <c r="A80" s="176">
        <v>16</v>
      </c>
      <c r="B80" s="169" t="s">
        <v>1167</v>
      </c>
      <c r="C80" s="78" t="s">
        <v>1168</v>
      </c>
      <c r="D80" s="175" t="s">
        <v>996</v>
      </c>
      <c r="G80" s="170"/>
      <c r="H80" s="186"/>
      <c r="I80" s="175"/>
      <c r="J80" s="192">
        <v>7</v>
      </c>
      <c r="K80" s="170"/>
      <c r="L80" s="185" t="s">
        <v>1169</v>
      </c>
      <c r="M80" s="170"/>
      <c r="N80" s="170"/>
      <c r="O80" s="207" t="s">
        <v>996</v>
      </c>
      <c r="P80" s="170"/>
      <c r="Q80" s="184">
        <v>16</v>
      </c>
      <c r="R80" s="177" t="str">
        <f t="shared" si="9"/>
        <v>II-0005.0016</v>
      </c>
      <c r="S80" s="170" t="str">
        <f t="shared" si="10"/>
        <v>RECTANGULAR - TIPO A-660</v>
      </c>
    </row>
    <row r="81" spans="1:19">
      <c r="A81" s="176">
        <v>17</v>
      </c>
      <c r="B81" s="169" t="s">
        <v>1170</v>
      </c>
      <c r="C81" s="78" t="s">
        <v>1171</v>
      </c>
      <c r="D81" s="175" t="s">
        <v>996</v>
      </c>
      <c r="G81" s="170"/>
      <c r="H81" s="186"/>
      <c r="I81" s="175"/>
      <c r="J81" s="192">
        <v>8</v>
      </c>
      <c r="K81" s="170"/>
      <c r="L81" s="185" t="s">
        <v>1172</v>
      </c>
      <c r="M81" s="170"/>
      <c r="N81" s="170"/>
      <c r="O81" s="207" t="s">
        <v>996</v>
      </c>
      <c r="P81" s="170"/>
      <c r="Q81" s="184">
        <v>17</v>
      </c>
      <c r="R81" s="177" t="str">
        <f t="shared" si="9"/>
        <v>II-0005.0017</v>
      </c>
      <c r="S81" s="170" t="str">
        <f t="shared" si="10"/>
        <v>RECTANGULAR - TIPO O-41211-MODIFICADA</v>
      </c>
    </row>
    <row r="82" spans="1:19">
      <c r="A82" s="176">
        <v>18</v>
      </c>
      <c r="B82" s="169" t="s">
        <v>1173</v>
      </c>
      <c r="C82" s="194" t="s">
        <v>1174</v>
      </c>
      <c r="D82" s="175" t="s">
        <v>996</v>
      </c>
      <c r="G82" s="170"/>
      <c r="H82" s="186"/>
      <c r="I82" s="175"/>
      <c r="J82" s="192">
        <v>9</v>
      </c>
      <c r="K82" s="170"/>
      <c r="L82" s="185" t="s">
        <v>1175</v>
      </c>
      <c r="M82" s="170"/>
      <c r="N82" s="170"/>
      <c r="O82" s="207" t="s">
        <v>996</v>
      </c>
      <c r="P82" s="170"/>
      <c r="Q82" s="184">
        <v>18</v>
      </c>
      <c r="R82" s="177" t="str">
        <f t="shared" si="9"/>
        <v>II-0005.0018</v>
      </c>
      <c r="S82" s="170" t="str">
        <f t="shared" si="10"/>
        <v>RECTANGULAR - TIPO X-1113</v>
      </c>
    </row>
    <row r="83" spans="1:19">
      <c r="A83" s="176">
        <v>19</v>
      </c>
      <c r="B83" s="177" t="s">
        <v>1176</v>
      </c>
      <c r="C83" s="78" t="s">
        <v>1177</v>
      </c>
      <c r="D83" s="175" t="s">
        <v>996</v>
      </c>
      <c r="G83" s="170"/>
      <c r="H83" s="186"/>
      <c r="I83" s="175"/>
      <c r="J83" s="192">
        <v>10</v>
      </c>
      <c r="K83" s="170"/>
      <c r="L83" s="185" t="s">
        <v>1178</v>
      </c>
      <c r="M83" s="170"/>
      <c r="N83" s="170"/>
      <c r="O83" s="207" t="s">
        <v>996</v>
      </c>
      <c r="P83" s="170"/>
      <c r="Q83" s="184">
        <v>19</v>
      </c>
      <c r="R83" s="177" t="str">
        <f t="shared" si="9"/>
        <v>II-0005.0019</v>
      </c>
      <c r="S83" s="170" t="str">
        <f t="shared" si="10"/>
        <v>RECTANGULAR - TIPO 0-52229</v>
      </c>
    </row>
    <row r="84" spans="1:19">
      <c r="A84" s="176">
        <v>20</v>
      </c>
      <c r="B84" s="177" t="s">
        <v>1179</v>
      </c>
      <c r="C84" s="78" t="s">
        <v>1180</v>
      </c>
      <c r="D84" s="175" t="s">
        <v>996</v>
      </c>
      <c r="G84" s="170"/>
      <c r="H84" s="186"/>
      <c r="I84" s="175"/>
      <c r="J84" s="192">
        <v>11</v>
      </c>
      <c r="K84" s="170"/>
      <c r="L84" s="185" t="s">
        <v>1181</v>
      </c>
      <c r="M84" s="170"/>
      <c r="N84" s="170"/>
      <c r="O84" s="207" t="s">
        <v>996</v>
      </c>
      <c r="P84" s="170"/>
      <c r="Q84" s="184">
        <v>20</v>
      </c>
      <c r="R84" s="177" t="str">
        <f t="shared" si="9"/>
        <v>II-0005.0020</v>
      </c>
      <c r="S84" s="170" t="str">
        <f t="shared" si="10"/>
        <v>RECTANGULAR - TIPO 0-52233</v>
      </c>
    </row>
    <row r="85" spans="1:19">
      <c r="A85" s="176">
        <v>21</v>
      </c>
      <c r="B85" s="169" t="s">
        <v>1182</v>
      </c>
      <c r="C85" s="78" t="s">
        <v>1183</v>
      </c>
      <c r="D85" s="175" t="s">
        <v>996</v>
      </c>
      <c r="G85" s="170"/>
      <c r="H85" s="186"/>
      <c r="I85" s="200"/>
      <c r="J85" s="195">
        <v>12</v>
      </c>
      <c r="K85" s="170"/>
      <c r="L85" s="197" t="s">
        <v>1184</v>
      </c>
      <c r="M85" s="196"/>
      <c r="N85" s="196"/>
      <c r="O85" s="226" t="s">
        <v>996</v>
      </c>
      <c r="P85" s="170"/>
      <c r="Q85" s="184">
        <v>21</v>
      </c>
      <c r="R85" s="177" t="str">
        <f t="shared" si="9"/>
        <v>II-0005.0021</v>
      </c>
      <c r="S85" s="170" t="str">
        <f t="shared" si="10"/>
        <v>RECTANGULAR - TIPO 0-52241</v>
      </c>
    </row>
    <row r="86" spans="1:19">
      <c r="A86" s="176">
        <v>30</v>
      </c>
      <c r="B86" s="169" t="s">
        <v>1185</v>
      </c>
      <c r="C86" s="78" t="s">
        <v>1127</v>
      </c>
      <c r="D86" s="175" t="s">
        <v>996</v>
      </c>
      <c r="G86" s="170"/>
      <c r="H86" s="186"/>
      <c r="I86" s="187" t="s">
        <v>1057</v>
      </c>
      <c r="J86" s="200"/>
      <c r="K86" s="245" t="s">
        <v>1127</v>
      </c>
      <c r="L86" s="197"/>
      <c r="M86" s="196"/>
      <c r="N86" s="196"/>
      <c r="O86" s="226" t="s">
        <v>996</v>
      </c>
      <c r="P86" s="170"/>
      <c r="Q86" s="184">
        <v>30</v>
      </c>
      <c r="R86" s="177" t="str">
        <f t="shared" si="9"/>
        <v>II-0005.0030</v>
      </c>
      <c r="S86" s="170" t="str">
        <f>CONCATENATE(K86)</f>
        <v>COLOCACION</v>
      </c>
    </row>
    <row r="87" spans="1:19">
      <c r="A87" s="176">
        <v>31</v>
      </c>
      <c r="B87" s="169" t="s">
        <v>1186</v>
      </c>
      <c r="C87" s="194" t="s">
        <v>1124</v>
      </c>
      <c r="D87" s="175" t="s">
        <v>996</v>
      </c>
      <c r="G87" s="170"/>
      <c r="H87" s="186"/>
      <c r="I87" s="195" t="s">
        <v>1083</v>
      </c>
      <c r="J87" s="200"/>
      <c r="K87" s="185" t="s">
        <v>1124</v>
      </c>
      <c r="L87" s="197"/>
      <c r="M87" s="196"/>
      <c r="N87" s="196"/>
      <c r="O87" s="226" t="s">
        <v>996</v>
      </c>
      <c r="P87" s="170"/>
      <c r="Q87" s="184">
        <v>31</v>
      </c>
      <c r="R87" s="177" t="str">
        <f t="shared" si="9"/>
        <v>II-0005.0031</v>
      </c>
      <c r="S87" s="170" t="str">
        <f t="shared" ref="S87:S90" si="11">CONCATENATE(K87)</f>
        <v>PINTURA</v>
      </c>
    </row>
    <row r="88" spans="1:19">
      <c r="A88" s="176">
        <v>32</v>
      </c>
      <c r="B88" s="177" t="s">
        <v>1187</v>
      </c>
      <c r="C88" s="78" t="s">
        <v>1188</v>
      </c>
      <c r="D88" s="250" t="s">
        <v>1131</v>
      </c>
      <c r="G88" s="170"/>
      <c r="H88" s="186"/>
      <c r="I88" s="195" t="s">
        <v>1125</v>
      </c>
      <c r="J88" s="200"/>
      <c r="K88" s="245" t="s">
        <v>1188</v>
      </c>
      <c r="L88" s="197"/>
      <c r="M88" s="196"/>
      <c r="N88" s="196"/>
      <c r="O88" s="251" t="s">
        <v>1131</v>
      </c>
      <c r="P88" s="170"/>
      <c r="Q88" s="184">
        <v>32</v>
      </c>
      <c r="R88" s="177" t="str">
        <f t="shared" si="9"/>
        <v>II-0005.0032</v>
      </c>
      <c r="S88" s="170" t="str">
        <f t="shared" si="11"/>
        <v>RELLENO SOCAVACION</v>
      </c>
    </row>
    <row r="89" spans="1:19">
      <c r="A89" s="176">
        <v>33</v>
      </c>
      <c r="B89" s="177" t="s">
        <v>1189</v>
      </c>
      <c r="C89" s="78" t="s">
        <v>1134</v>
      </c>
      <c r="D89" s="175" t="s">
        <v>996</v>
      </c>
      <c r="G89" s="170"/>
      <c r="H89" s="186"/>
      <c r="I89" s="187" t="s">
        <v>1128</v>
      </c>
      <c r="J89" s="228"/>
      <c r="K89" s="245" t="s">
        <v>1134</v>
      </c>
      <c r="L89" s="228"/>
      <c r="M89" s="228"/>
      <c r="N89" s="228"/>
      <c r="O89" s="229" t="s">
        <v>996</v>
      </c>
      <c r="P89" s="170"/>
      <c r="Q89" s="184">
        <v>33</v>
      </c>
      <c r="R89" s="177" t="str">
        <f t="shared" si="9"/>
        <v>II-0005.0033</v>
      </c>
      <c r="S89" s="170" t="str">
        <f t="shared" si="11"/>
        <v>REPARACION</v>
      </c>
    </row>
    <row r="90" spans="1:19" ht="15.75" thickBot="1">
      <c r="A90" s="176">
        <v>34</v>
      </c>
      <c r="B90" s="177" t="s">
        <v>1190</v>
      </c>
      <c r="C90" s="78" t="s">
        <v>1139</v>
      </c>
      <c r="D90" s="175" t="s">
        <v>996</v>
      </c>
      <c r="G90" s="170"/>
      <c r="H90" s="201"/>
      <c r="I90" s="213" t="s">
        <v>1132</v>
      </c>
      <c r="J90" s="204"/>
      <c r="K90" s="205" t="s">
        <v>1139</v>
      </c>
      <c r="L90" s="204"/>
      <c r="M90" s="204"/>
      <c r="N90" s="204"/>
      <c r="O90" s="252" t="s">
        <v>996</v>
      </c>
      <c r="P90" s="170"/>
      <c r="Q90" s="184">
        <v>34</v>
      </c>
      <c r="R90" s="177" t="str">
        <f t="shared" si="9"/>
        <v>II-0005.0034</v>
      </c>
      <c r="S90" s="170" t="str">
        <f t="shared" si="11"/>
        <v xml:space="preserve">RETIRO </v>
      </c>
    </row>
    <row r="91" spans="1:19" ht="16.5" thickTop="1" thickBot="1">
      <c r="A91" s="176"/>
      <c r="B91" s="177"/>
      <c r="C91" s="78"/>
      <c r="D91" s="175"/>
      <c r="G91" s="170"/>
      <c r="H91" s="186"/>
      <c r="I91" s="175"/>
      <c r="J91" s="170"/>
      <c r="K91" s="185"/>
      <c r="L91" s="170"/>
      <c r="M91" s="170"/>
      <c r="N91" s="170"/>
      <c r="O91" s="207"/>
      <c r="P91" s="170"/>
      <c r="Q91" s="184"/>
      <c r="R91" s="177"/>
      <c r="S91" s="170"/>
    </row>
    <row r="92" spans="1:19" ht="15.75" thickTop="1">
      <c r="A92" s="176">
        <v>6</v>
      </c>
      <c r="B92" s="177" t="s">
        <v>1191</v>
      </c>
      <c r="C92" s="78" t="s">
        <v>1192</v>
      </c>
      <c r="D92" s="175"/>
      <c r="G92" s="170"/>
      <c r="H92" s="253">
        <v>6</v>
      </c>
      <c r="I92" s="254"/>
      <c r="J92" s="255"/>
      <c r="K92" s="256" t="s">
        <v>1192</v>
      </c>
      <c r="L92" s="255"/>
      <c r="M92" s="255"/>
      <c r="N92" s="255"/>
      <c r="O92" s="257"/>
      <c r="P92" s="170"/>
      <c r="Q92" s="184">
        <f>H92</f>
        <v>6</v>
      </c>
      <c r="R92" s="175" t="str">
        <f>CONCATENATE("II-",TEXT(Q92,"0000"))</f>
        <v>II-0006</v>
      </c>
      <c r="S92" s="185" t="str">
        <f>K92</f>
        <v>APERTURA DE CAJA P/ ENSANCHE</v>
      </c>
    </row>
    <row r="93" spans="1:19">
      <c r="A93" s="176">
        <v>1</v>
      </c>
      <c r="B93" s="177" t="s">
        <v>1193</v>
      </c>
      <c r="C93" s="78" t="s">
        <v>1089</v>
      </c>
      <c r="D93" s="175" t="s">
        <v>1131</v>
      </c>
      <c r="G93" s="170"/>
      <c r="H93" s="186"/>
      <c r="I93" s="187" t="s">
        <v>1020</v>
      </c>
      <c r="J93" s="228"/>
      <c r="K93" s="245" t="s">
        <v>1089</v>
      </c>
      <c r="L93" s="228"/>
      <c r="M93" s="228"/>
      <c r="N93" s="228"/>
      <c r="O93" s="244" t="s">
        <v>1131</v>
      </c>
      <c r="P93" s="170"/>
      <c r="Q93" s="184">
        <v>1</v>
      </c>
      <c r="R93" s="177" t="str">
        <f>CONCATENATE($R$92,".",TEXT(Q93,"0000"))</f>
        <v>II-0006.0001</v>
      </c>
      <c r="S93" s="170" t="str">
        <f>CONCATENATE(K93)</f>
        <v>RETIRO</v>
      </c>
    </row>
    <row r="94" spans="1:19" ht="15.75" thickBot="1">
      <c r="A94" s="176">
        <v>2</v>
      </c>
      <c r="B94" s="177" t="s">
        <v>1194</v>
      </c>
      <c r="C94" s="78" t="s">
        <v>1195</v>
      </c>
      <c r="D94" s="175" t="s">
        <v>1131</v>
      </c>
      <c r="G94" s="170"/>
      <c r="H94" s="186"/>
      <c r="I94" s="213" t="s">
        <v>1047</v>
      </c>
      <c r="J94" s="170"/>
      <c r="K94" s="185" t="s">
        <v>1195</v>
      </c>
      <c r="L94" s="170"/>
      <c r="M94" s="170"/>
      <c r="N94" s="170"/>
      <c r="O94" s="222" t="s">
        <v>1131</v>
      </c>
      <c r="P94" s="170"/>
      <c r="Q94" s="184">
        <v>2</v>
      </c>
      <c r="R94" s="177" t="str">
        <f>CONCATENATE($R$92,".",TEXT(Q94,"0000"))</f>
        <v>II-0006.0002</v>
      </c>
      <c r="S94" s="170" t="str">
        <f>CONCATENATE(K94)</f>
        <v>RETIRO Y COLOCACION</v>
      </c>
    </row>
    <row r="95" spans="1:19" ht="16.5" thickTop="1" thickBot="1">
      <c r="A95" s="176"/>
      <c r="B95" s="169"/>
      <c r="C95" s="78"/>
      <c r="D95" s="175"/>
      <c r="G95" s="170"/>
      <c r="H95" s="186"/>
      <c r="I95" s="175"/>
      <c r="J95" s="170"/>
      <c r="K95" s="185"/>
      <c r="L95" s="170"/>
      <c r="M95" s="170"/>
      <c r="N95" s="170"/>
      <c r="O95" s="222"/>
      <c r="P95" s="170"/>
      <c r="Q95" s="184"/>
      <c r="R95" s="177"/>
      <c r="S95" s="170"/>
    </row>
    <row r="96" spans="1:19" ht="15.75" thickTop="1">
      <c r="A96" s="176">
        <v>7</v>
      </c>
      <c r="B96" s="169" t="s">
        <v>1196</v>
      </c>
      <c r="C96" s="78" t="s">
        <v>1197</v>
      </c>
      <c r="D96" s="175"/>
      <c r="G96" s="170"/>
      <c r="H96" s="253">
        <v>7</v>
      </c>
      <c r="I96" s="209"/>
      <c r="J96" s="258"/>
      <c r="K96" s="259" t="s">
        <v>1197</v>
      </c>
      <c r="L96" s="258"/>
      <c r="M96" s="258"/>
      <c r="N96" s="258"/>
      <c r="O96" s="211"/>
      <c r="P96" s="170"/>
      <c r="Q96" s="184">
        <f>H96</f>
        <v>7</v>
      </c>
      <c r="R96" s="175" t="str">
        <f>CONCATENATE("II-",TEXT(Q96,"0000"))</f>
        <v>II-0007</v>
      </c>
      <c r="S96" s="185" t="str">
        <f>K96</f>
        <v>APOYO DE POLICLOROPENO SHARE 60</v>
      </c>
    </row>
    <row r="97" spans="1:19">
      <c r="A97" s="176">
        <v>1</v>
      </c>
      <c r="B97" s="169" t="s">
        <v>1198</v>
      </c>
      <c r="C97" s="194" t="s">
        <v>1137</v>
      </c>
      <c r="D97" s="175" t="s">
        <v>1199</v>
      </c>
      <c r="G97" s="170"/>
      <c r="H97" s="186"/>
      <c r="I97" s="187" t="s">
        <v>1020</v>
      </c>
      <c r="J97" s="228"/>
      <c r="K97" s="245" t="s">
        <v>1137</v>
      </c>
      <c r="L97" s="228"/>
      <c r="M97" s="228"/>
      <c r="N97" s="228"/>
      <c r="O97" s="229" t="s">
        <v>1199</v>
      </c>
      <c r="P97" s="170"/>
      <c r="Q97" s="184">
        <v>1</v>
      </c>
      <c r="R97" s="177" t="str">
        <f>CONCATENATE($R$96,".",TEXT(Q97,"0000"))</f>
        <v>II-0007.0001</v>
      </c>
      <c r="S97" s="170" t="str">
        <f>CONCATENATE(K97)</f>
        <v>RETIRO Y RECOLOCACION</v>
      </c>
    </row>
    <row r="98" spans="1:19" ht="15.75" thickBot="1">
      <c r="A98" s="176">
        <v>2</v>
      </c>
      <c r="B98" s="177" t="s">
        <v>1200</v>
      </c>
      <c r="C98" s="78" t="s">
        <v>1134</v>
      </c>
      <c r="D98" s="175" t="s">
        <v>1199</v>
      </c>
      <c r="G98" s="170"/>
      <c r="H98" s="186"/>
      <c r="I98" s="203" t="s">
        <v>1047</v>
      </c>
      <c r="J98" s="170"/>
      <c r="K98" s="185" t="s">
        <v>1134</v>
      </c>
      <c r="L98" s="170"/>
      <c r="M98" s="170"/>
      <c r="N98" s="170"/>
      <c r="O98" s="252" t="s">
        <v>1199</v>
      </c>
      <c r="P98" s="170"/>
      <c r="Q98" s="184">
        <v>2</v>
      </c>
      <c r="R98" s="177" t="str">
        <f>CONCATENATE($R$96,".",TEXT(Q98,"0000"))</f>
        <v>II-0007.0002</v>
      </c>
      <c r="S98" s="170" t="str">
        <f>CONCATENATE(K98)</f>
        <v>REPARACION</v>
      </c>
    </row>
    <row r="99" spans="1:19" ht="16.5" thickTop="1" thickBot="1">
      <c r="A99" s="176"/>
      <c r="B99" s="177"/>
      <c r="C99" s="78"/>
      <c r="D99" s="175"/>
      <c r="G99" s="170"/>
      <c r="H99" s="186"/>
      <c r="I99" s="175"/>
      <c r="J99" s="170"/>
      <c r="K99" s="185"/>
      <c r="L99" s="170"/>
      <c r="M99" s="170"/>
      <c r="N99" s="170"/>
      <c r="O99" s="207"/>
      <c r="P99" s="170"/>
      <c r="Q99" s="184"/>
      <c r="R99" s="177"/>
      <c r="S99" s="170"/>
    </row>
    <row r="100" spans="1:19" ht="16.5" thickTop="1" thickBot="1">
      <c r="A100" s="176">
        <v>8</v>
      </c>
      <c r="B100" s="177" t="s">
        <v>1201</v>
      </c>
      <c r="C100" s="78" t="s">
        <v>1202</v>
      </c>
      <c r="D100" s="175" t="s">
        <v>1131</v>
      </c>
      <c r="G100" s="170"/>
      <c r="H100" s="260">
        <v>8</v>
      </c>
      <c r="I100" s="261"/>
      <c r="J100" s="262"/>
      <c r="K100" s="263" t="s">
        <v>1202</v>
      </c>
      <c r="L100" s="262"/>
      <c r="M100" s="262"/>
      <c r="N100" s="262"/>
      <c r="O100" s="264" t="s">
        <v>1131</v>
      </c>
      <c r="P100" s="170"/>
      <c r="Q100" s="184">
        <f>H100</f>
        <v>8</v>
      </c>
      <c r="R100" s="175" t="str">
        <f>CONCATENATE("II-",TEXT(Q100,"0000"))</f>
        <v>II-0008</v>
      </c>
      <c r="S100" s="185" t="str">
        <f>K100</f>
        <v>ARIDOS</v>
      </c>
    </row>
    <row r="101" spans="1:19">
      <c r="A101" s="176"/>
      <c r="B101" s="177"/>
      <c r="C101" s="78"/>
      <c r="D101" s="175"/>
      <c r="G101" s="170"/>
      <c r="H101" s="238"/>
      <c r="I101" s="175"/>
      <c r="J101" s="170"/>
      <c r="K101" s="185"/>
      <c r="L101" s="170"/>
      <c r="M101" s="170"/>
      <c r="N101" s="170"/>
      <c r="O101" s="173"/>
      <c r="P101" s="170"/>
      <c r="Q101" s="170"/>
      <c r="R101" s="170"/>
      <c r="S101" s="170"/>
    </row>
    <row r="102" spans="1:19">
      <c r="A102" s="176"/>
      <c r="B102" s="177"/>
      <c r="C102" s="78"/>
      <c r="D102" s="175"/>
      <c r="G102" s="170"/>
      <c r="H102" s="238"/>
      <c r="I102" s="175"/>
      <c r="J102" s="170"/>
      <c r="K102" s="185"/>
      <c r="L102" s="170"/>
      <c r="M102" s="170"/>
      <c r="N102" s="170"/>
      <c r="O102" s="173"/>
      <c r="P102" s="170"/>
      <c r="Q102" s="170"/>
      <c r="R102" s="170"/>
      <c r="S102" s="170"/>
    </row>
    <row r="103" spans="1:19">
      <c r="A103" s="176"/>
      <c r="B103" s="169"/>
      <c r="C103" s="78"/>
      <c r="D103" s="175"/>
      <c r="G103" s="170"/>
      <c r="H103" s="238"/>
      <c r="I103" s="175"/>
      <c r="J103" s="170"/>
      <c r="K103" s="185"/>
      <c r="L103" s="170"/>
      <c r="M103" s="170"/>
      <c r="N103" s="170"/>
      <c r="O103" s="173"/>
      <c r="P103" s="170"/>
      <c r="Q103" s="170"/>
      <c r="R103" s="170"/>
      <c r="S103" s="170"/>
    </row>
    <row r="104" spans="1:19">
      <c r="A104" s="176">
        <v>9</v>
      </c>
      <c r="B104" s="169" t="s">
        <v>1203</v>
      </c>
      <c r="C104" s="78" t="s">
        <v>1204</v>
      </c>
      <c r="D104" s="175"/>
      <c r="G104" s="170"/>
      <c r="H104" s="208">
        <v>9</v>
      </c>
      <c r="I104" s="210"/>
      <c r="J104" s="220"/>
      <c r="K104" s="265" t="s">
        <v>1204</v>
      </c>
      <c r="L104" s="220"/>
      <c r="M104" s="220"/>
      <c r="N104" s="220"/>
      <c r="O104" s="230"/>
      <c r="P104" s="170"/>
      <c r="Q104" s="184">
        <f>H104</f>
        <v>9</v>
      </c>
      <c r="R104" s="175" t="str">
        <f>CONCATENATE("II-",TEXT(Q104,"0000"))</f>
        <v>II-0009</v>
      </c>
      <c r="S104" s="185" t="str">
        <f>K104</f>
        <v>BACHEO DE PAVIMENTO ASFALTICO</v>
      </c>
    </row>
    <row r="105" spans="1:19">
      <c r="A105" s="176"/>
      <c r="B105" s="169"/>
      <c r="C105" s="194"/>
      <c r="D105" s="175"/>
      <c r="G105" s="170"/>
      <c r="H105" s="186"/>
      <c r="I105" s="187" t="s">
        <v>1020</v>
      </c>
      <c r="J105" s="170"/>
      <c r="K105" s="185" t="s">
        <v>1205</v>
      </c>
      <c r="L105" s="170"/>
      <c r="M105" s="170"/>
      <c r="N105" s="170"/>
      <c r="O105" s="222"/>
      <c r="P105" s="170"/>
      <c r="Q105" s="170"/>
      <c r="R105" s="170"/>
      <c r="S105" s="170"/>
    </row>
    <row r="106" spans="1:19">
      <c r="A106" s="176">
        <v>1</v>
      </c>
      <c r="B106" s="177" t="s">
        <v>1206</v>
      </c>
      <c r="C106" s="78" t="s">
        <v>1207</v>
      </c>
      <c r="D106" s="175" t="s">
        <v>1131</v>
      </c>
      <c r="G106" s="170"/>
      <c r="H106" s="186"/>
      <c r="I106" s="175"/>
      <c r="J106" s="192">
        <v>1</v>
      </c>
      <c r="K106" s="185"/>
      <c r="L106" s="185" t="s">
        <v>1208</v>
      </c>
      <c r="M106" s="170"/>
      <c r="N106" s="170"/>
      <c r="O106" s="222" t="s">
        <v>1131</v>
      </c>
      <c r="P106" s="170"/>
      <c r="Q106" s="184">
        <v>1</v>
      </c>
      <c r="R106" s="177" t="str">
        <f>CONCATENATE($R$104,".",TEXT(Q106,"0000"))</f>
        <v>II-0009.0001</v>
      </c>
      <c r="S106" s="170" t="str">
        <f>CONCATENATE($K$105," CON ",L106)</f>
        <v>PROFUNDO CON MATERIAL PETREO Y SUELO</v>
      </c>
    </row>
    <row r="107" spans="1:19">
      <c r="A107" s="176">
        <v>2</v>
      </c>
      <c r="B107" s="177" t="s">
        <v>1209</v>
      </c>
      <c r="C107" s="78" t="s">
        <v>1210</v>
      </c>
      <c r="D107" s="175" t="s">
        <v>1131</v>
      </c>
      <c r="G107" s="170"/>
      <c r="H107" s="186"/>
      <c r="I107" s="175"/>
      <c r="J107" s="192">
        <v>2</v>
      </c>
      <c r="K107" s="185"/>
      <c r="L107" s="185" t="s">
        <v>1211</v>
      </c>
      <c r="M107" s="170"/>
      <c r="N107" s="170"/>
      <c r="O107" s="222" t="s">
        <v>1131</v>
      </c>
      <c r="P107" s="170"/>
      <c r="Q107" s="184">
        <v>2</v>
      </c>
      <c r="R107" s="177" t="str">
        <f t="shared" ref="R107:R111" si="12">CONCATENATE($R$104,".",TEXT(Q107,"0000"))</f>
        <v>II-0009.0002</v>
      </c>
      <c r="S107" s="170" t="str">
        <f t="shared" ref="S107:S111" si="13">CONCATENATE($K$105," CON ",L107)</f>
        <v>PROFUNDO CON MEZCLA ASFALTICA</v>
      </c>
    </row>
    <row r="108" spans="1:19">
      <c r="A108" s="176">
        <v>3</v>
      </c>
      <c r="B108" s="177" t="s">
        <v>1212</v>
      </c>
      <c r="C108" s="78" t="s">
        <v>1213</v>
      </c>
      <c r="D108" s="175" t="s">
        <v>1214</v>
      </c>
      <c r="G108" s="170"/>
      <c r="H108" s="186"/>
      <c r="I108" s="175"/>
      <c r="J108" s="192">
        <v>3</v>
      </c>
      <c r="K108" s="185"/>
      <c r="L108" s="185" t="s">
        <v>1215</v>
      </c>
      <c r="M108" s="170"/>
      <c r="N108" s="170"/>
      <c r="O108" s="222" t="s">
        <v>1214</v>
      </c>
      <c r="P108" s="170"/>
      <c r="Q108" s="184">
        <v>3</v>
      </c>
      <c r="R108" s="177" t="str">
        <f t="shared" si="12"/>
        <v>II-0009.0003</v>
      </c>
      <c r="S108" s="170" t="str">
        <f t="shared" si="13"/>
        <v>PROFUNDO CON SUELO CAL</v>
      </c>
    </row>
    <row r="109" spans="1:19">
      <c r="A109" s="176">
        <v>4</v>
      </c>
      <c r="B109" s="177" t="s">
        <v>1216</v>
      </c>
      <c r="C109" s="78" t="s">
        <v>1217</v>
      </c>
      <c r="D109" s="175" t="s">
        <v>1214</v>
      </c>
      <c r="G109" s="170"/>
      <c r="H109" s="186"/>
      <c r="I109" s="175"/>
      <c r="J109" s="192">
        <v>4</v>
      </c>
      <c r="K109" s="185"/>
      <c r="L109" s="185" t="s">
        <v>1218</v>
      </c>
      <c r="M109" s="170"/>
      <c r="N109" s="170"/>
      <c r="O109" s="222" t="s">
        <v>1214</v>
      </c>
      <c r="P109" s="170"/>
      <c r="Q109" s="184">
        <v>4</v>
      </c>
      <c r="R109" s="177" t="str">
        <f t="shared" si="12"/>
        <v>II-0009.0004</v>
      </c>
      <c r="S109" s="170" t="str">
        <f t="shared" si="13"/>
        <v>PROFUNDO CON SUELO CEMENTO</v>
      </c>
    </row>
    <row r="110" spans="1:19">
      <c r="A110" s="176">
        <v>5</v>
      </c>
      <c r="B110" s="177" t="s">
        <v>1219</v>
      </c>
      <c r="C110" s="78" t="s">
        <v>1220</v>
      </c>
      <c r="D110" s="175" t="s">
        <v>1214</v>
      </c>
      <c r="G110" s="170"/>
      <c r="H110" s="186"/>
      <c r="I110" s="175"/>
      <c r="J110" s="192">
        <v>5</v>
      </c>
      <c r="K110" s="185"/>
      <c r="L110" s="185" t="s">
        <v>1221</v>
      </c>
      <c r="M110" s="170"/>
      <c r="N110" s="170"/>
      <c r="O110" s="222" t="s">
        <v>1214</v>
      </c>
      <c r="P110" s="170"/>
      <c r="Q110" s="184">
        <v>5</v>
      </c>
      <c r="R110" s="177" t="str">
        <f t="shared" si="12"/>
        <v>II-0009.0005</v>
      </c>
      <c r="S110" s="170" t="str">
        <f t="shared" si="13"/>
        <v>PROFUNDO CON SUELO SELECCIONADO</v>
      </c>
    </row>
    <row r="111" spans="1:19">
      <c r="A111" s="176">
        <v>6</v>
      </c>
      <c r="B111" s="177" t="s">
        <v>1222</v>
      </c>
      <c r="C111" s="78" t="s">
        <v>1223</v>
      </c>
      <c r="D111" s="175" t="s">
        <v>1214</v>
      </c>
      <c r="G111" s="170"/>
      <c r="H111" s="186"/>
      <c r="I111" s="200"/>
      <c r="J111" s="195">
        <v>6</v>
      </c>
      <c r="K111" s="197"/>
      <c r="L111" s="197" t="s">
        <v>1224</v>
      </c>
      <c r="M111" s="196"/>
      <c r="N111" s="196"/>
      <c r="O111" s="240" t="s">
        <v>1214</v>
      </c>
      <c r="P111" s="170"/>
      <c r="Q111" s="184">
        <v>6</v>
      </c>
      <c r="R111" s="177" t="str">
        <f t="shared" si="12"/>
        <v>II-0009.0006</v>
      </c>
      <c r="S111" s="170" t="str">
        <f t="shared" si="13"/>
        <v>PROFUNDO CON SUELO TRATADO C / CAL</v>
      </c>
    </row>
    <row r="112" spans="1:19">
      <c r="A112" s="176"/>
      <c r="B112" s="78"/>
      <c r="C112" s="78"/>
      <c r="D112" s="175"/>
      <c r="G112" s="170"/>
      <c r="H112" s="186"/>
      <c r="I112" s="187" t="s">
        <v>1047</v>
      </c>
      <c r="J112" s="170"/>
      <c r="K112" s="185" t="s">
        <v>1225</v>
      </c>
      <c r="L112" s="170"/>
      <c r="M112" s="170"/>
      <c r="N112" s="170"/>
      <c r="O112" s="222"/>
      <c r="P112" s="170"/>
      <c r="Q112" s="170"/>
      <c r="R112" s="170"/>
      <c r="S112" s="170"/>
    </row>
    <row r="113" spans="1:19" ht="15.75" thickBot="1">
      <c r="A113" s="176">
        <v>10</v>
      </c>
      <c r="B113" s="169" t="s">
        <v>1226</v>
      </c>
      <c r="C113" s="78" t="s">
        <v>1227</v>
      </c>
      <c r="D113" s="175" t="s">
        <v>1131</v>
      </c>
      <c r="G113" s="170"/>
      <c r="H113" s="201"/>
      <c r="I113" s="202"/>
      <c r="J113" s="203">
        <v>2</v>
      </c>
      <c r="K113" s="205"/>
      <c r="L113" s="205" t="s">
        <v>1211</v>
      </c>
      <c r="M113" s="204"/>
      <c r="N113" s="204"/>
      <c r="O113" s="266" t="s">
        <v>1131</v>
      </c>
      <c r="P113" s="170"/>
      <c r="Q113" s="184">
        <v>10</v>
      </c>
      <c r="R113" s="177" t="str">
        <f>CONCATENATE($R$104,".",TEXT(Q113,"0000"))</f>
        <v>II-0009.0010</v>
      </c>
      <c r="S113" s="170" t="str">
        <f>CONCATENATE($K$112," CON ",L113)</f>
        <v>SUPERFICIAL CON MEZCLA ASFALTICA</v>
      </c>
    </row>
    <row r="114" spans="1:19" ht="15.75" thickTop="1">
      <c r="A114" s="176"/>
      <c r="B114" s="169"/>
      <c r="C114" s="194"/>
      <c r="D114" s="175"/>
      <c r="G114" s="170"/>
      <c r="H114" s="186"/>
      <c r="I114" s="175"/>
      <c r="J114" s="175"/>
      <c r="K114" s="185"/>
      <c r="L114" s="185"/>
      <c r="M114" s="170"/>
      <c r="N114" s="170"/>
      <c r="O114" s="222"/>
      <c r="P114" s="170"/>
      <c r="Q114" s="184"/>
      <c r="R114" s="177"/>
      <c r="S114" s="170"/>
    </row>
    <row r="115" spans="1:19">
      <c r="A115" s="176">
        <v>10</v>
      </c>
      <c r="B115" s="177" t="s">
        <v>1228</v>
      </c>
      <c r="C115" s="78" t="s">
        <v>1229</v>
      </c>
      <c r="D115" s="175"/>
      <c r="G115" s="170"/>
      <c r="H115" s="208">
        <v>10</v>
      </c>
      <c r="I115" s="210"/>
      <c r="J115" s="220"/>
      <c r="K115" s="265" t="s">
        <v>1229</v>
      </c>
      <c r="L115" s="220"/>
      <c r="M115" s="220"/>
      <c r="N115" s="220"/>
      <c r="O115" s="230"/>
      <c r="P115" s="170"/>
      <c r="Q115" s="184">
        <f>H115</f>
        <v>10</v>
      </c>
      <c r="R115" s="175" t="str">
        <f>CONCATENATE("II-",TEXT(Q115,"0000"))</f>
        <v>II-0010</v>
      </c>
      <c r="S115" s="185" t="str">
        <f>K115</f>
        <v>BADEN</v>
      </c>
    </row>
    <row r="116" spans="1:19">
      <c r="A116" s="176"/>
      <c r="B116" s="177"/>
      <c r="C116" s="78"/>
      <c r="D116" s="175"/>
      <c r="G116" s="170"/>
      <c r="H116" s="186"/>
      <c r="I116" s="187" t="s">
        <v>1020</v>
      </c>
      <c r="J116" s="170"/>
      <c r="K116" s="185" t="s">
        <v>1230</v>
      </c>
      <c r="L116" s="170"/>
      <c r="M116" s="170"/>
      <c r="N116" s="170"/>
      <c r="O116" s="222"/>
      <c r="P116" s="170"/>
      <c r="Q116" s="170"/>
      <c r="R116" s="170"/>
      <c r="S116" s="170"/>
    </row>
    <row r="117" spans="1:19">
      <c r="A117" s="176">
        <v>1</v>
      </c>
      <c r="B117" s="177" t="s">
        <v>1231</v>
      </c>
      <c r="C117" s="78" t="s">
        <v>1232</v>
      </c>
      <c r="D117" s="175" t="s">
        <v>1131</v>
      </c>
      <c r="G117" s="170"/>
      <c r="H117" s="186"/>
      <c r="I117" s="175"/>
      <c r="J117" s="192">
        <v>1</v>
      </c>
      <c r="K117" s="170"/>
      <c r="L117" s="185" t="s">
        <v>1233</v>
      </c>
      <c r="M117" s="170"/>
      <c r="N117" s="170"/>
      <c r="O117" s="222" t="s">
        <v>1131</v>
      </c>
      <c r="P117" s="170"/>
      <c r="Q117" s="184">
        <v>1</v>
      </c>
      <c r="R117" s="177" t="str">
        <f>CONCATENATE($R$115,".",TEXT(Q117,"0000"))</f>
        <v>II-0010.0001</v>
      </c>
      <c r="S117" s="170" t="str">
        <f>CONCATENATE($K$116," - TIPO ",L117)</f>
        <v>Hº  SIMPLE - TIPO A-2862</v>
      </c>
    </row>
    <row r="118" spans="1:19">
      <c r="A118" s="176">
        <v>2</v>
      </c>
      <c r="B118" s="177" t="s">
        <v>1234</v>
      </c>
      <c r="C118" s="78" t="s">
        <v>1235</v>
      </c>
      <c r="D118" s="175" t="s">
        <v>1131</v>
      </c>
      <c r="G118" s="170"/>
      <c r="H118" s="186"/>
      <c r="I118" s="175"/>
      <c r="J118" s="195">
        <v>2</v>
      </c>
      <c r="K118" s="196"/>
      <c r="L118" s="197" t="s">
        <v>1236</v>
      </c>
      <c r="M118" s="196"/>
      <c r="N118" s="196"/>
      <c r="O118" s="240" t="s">
        <v>1131</v>
      </c>
      <c r="P118" s="170"/>
      <c r="Q118" s="184">
        <v>2</v>
      </c>
      <c r="R118" s="177" t="str">
        <f>CONCATENATE($R$115,".",TEXT(Q118,"0000"))</f>
        <v>II-0010.0002</v>
      </c>
      <c r="S118" s="170" t="str">
        <f>CONCATENATE($K$116," - TIPO ",L118)</f>
        <v>Hº  SIMPLE - TIPO H-8621</v>
      </c>
    </row>
    <row r="119" spans="1:19">
      <c r="A119" s="176"/>
      <c r="B119" s="177"/>
      <c r="C119" s="78"/>
      <c r="D119" s="175"/>
      <c r="G119" s="170"/>
      <c r="H119" s="186"/>
      <c r="I119" s="187" t="s">
        <v>1047</v>
      </c>
      <c r="J119" s="170"/>
      <c r="K119" s="185" t="s">
        <v>1237</v>
      </c>
      <c r="L119" s="170"/>
      <c r="M119" s="170"/>
      <c r="N119" s="170"/>
      <c r="O119" s="222"/>
      <c r="P119" s="170"/>
      <c r="Q119" s="170"/>
      <c r="R119" s="170"/>
      <c r="S119" s="170"/>
    </row>
    <row r="120" spans="1:19">
      <c r="A120" s="176">
        <v>10</v>
      </c>
      <c r="B120" s="177" t="s">
        <v>1238</v>
      </c>
      <c r="C120" s="78" t="s">
        <v>1239</v>
      </c>
      <c r="D120" s="175" t="s">
        <v>1131</v>
      </c>
      <c r="G120" s="170"/>
      <c r="H120" s="186"/>
      <c r="I120" s="200"/>
      <c r="J120" s="195">
        <v>1</v>
      </c>
      <c r="K120" s="196"/>
      <c r="L120" s="197" t="s">
        <v>1240</v>
      </c>
      <c r="M120" s="196"/>
      <c r="N120" s="196"/>
      <c r="O120" s="240" t="s">
        <v>1131</v>
      </c>
      <c r="P120" s="170"/>
      <c r="Q120" s="184">
        <v>10</v>
      </c>
      <c r="R120" s="177" t="str">
        <f>CONCATENATE($R$115,".",TEXT(Q120,"0000"))</f>
        <v>II-0010.0010</v>
      </c>
      <c r="S120" s="170" t="str">
        <f>CONCATENATE($K$119," - TIPO ",L120)</f>
        <v>Hº ARMADO - TIPO V-331</v>
      </c>
    </row>
    <row r="121" spans="1:19" ht="15.75" thickBot="1">
      <c r="A121" s="176"/>
      <c r="B121" s="177"/>
      <c r="C121" s="78"/>
      <c r="D121" s="175" t="s">
        <v>1131</v>
      </c>
      <c r="G121" s="170"/>
      <c r="H121" s="201"/>
      <c r="I121" s="203" t="s">
        <v>1057</v>
      </c>
      <c r="J121" s="204"/>
      <c r="K121" s="205" t="s">
        <v>1048</v>
      </c>
      <c r="L121" s="204"/>
      <c r="M121" s="204"/>
      <c r="N121" s="204"/>
      <c r="O121" s="266" t="s">
        <v>1131</v>
      </c>
      <c r="P121" s="170"/>
      <c r="Q121" s="170"/>
      <c r="R121" s="170"/>
      <c r="S121" s="170"/>
    </row>
    <row r="122" spans="1:19" ht="15.75" thickTop="1">
      <c r="A122" s="176">
        <v>11</v>
      </c>
      <c r="B122" s="177" t="s">
        <v>1241</v>
      </c>
      <c r="C122" s="78" t="s">
        <v>1242</v>
      </c>
      <c r="D122" s="175"/>
      <c r="G122" s="170"/>
      <c r="H122" s="208">
        <v>11</v>
      </c>
      <c r="I122" s="210"/>
      <c r="J122" s="220"/>
      <c r="K122" s="265" t="s">
        <v>1242</v>
      </c>
      <c r="L122" s="220"/>
      <c r="M122" s="220"/>
      <c r="N122" s="220"/>
      <c r="O122" s="230"/>
      <c r="P122" s="170"/>
      <c r="Q122" s="184">
        <f>H122</f>
        <v>11</v>
      </c>
      <c r="R122" s="175" t="str">
        <f>CONCATENATE("II-",TEXT(Q122,"0000"))</f>
        <v>II-0011</v>
      </c>
      <c r="S122" s="185" t="str">
        <f>K122</f>
        <v>BAJADA DE AGUA</v>
      </c>
    </row>
    <row r="123" spans="1:19">
      <c r="A123" s="176">
        <v>1</v>
      </c>
      <c r="B123" s="177" t="s">
        <v>1243</v>
      </c>
      <c r="C123" s="78" t="s">
        <v>1244</v>
      </c>
      <c r="D123" s="175" t="s">
        <v>996</v>
      </c>
      <c r="G123" s="170"/>
      <c r="H123" s="221"/>
      <c r="I123" s="187" t="s">
        <v>1020</v>
      </c>
      <c r="J123" s="228"/>
      <c r="K123" s="245" t="s">
        <v>1244</v>
      </c>
      <c r="L123" s="228"/>
      <c r="M123" s="228"/>
      <c r="N123" s="228"/>
      <c r="O123" s="244" t="s">
        <v>996</v>
      </c>
      <c r="P123" s="170"/>
      <c r="Q123" s="184">
        <v>1</v>
      </c>
      <c r="R123" s="177" t="str">
        <f>CONCATENATE($R$122,".",TEXT(Q123,"0000"))</f>
        <v>II-0011.0001</v>
      </c>
      <c r="S123" s="170" t="str">
        <f>CONCATENATE($K$123)</f>
        <v>METALICA</v>
      </c>
    </row>
    <row r="124" spans="1:19">
      <c r="A124" s="176"/>
      <c r="B124" s="177"/>
      <c r="C124" s="78"/>
      <c r="D124" s="175"/>
      <c r="G124" s="170"/>
      <c r="H124" s="186"/>
      <c r="I124" s="187" t="s">
        <v>1047</v>
      </c>
      <c r="J124" s="170"/>
      <c r="K124" s="185" t="s">
        <v>1245</v>
      </c>
      <c r="L124" s="170"/>
      <c r="M124" s="170"/>
      <c r="N124" s="170"/>
      <c r="O124" s="222"/>
      <c r="P124" s="170"/>
      <c r="Q124" s="170"/>
      <c r="R124" s="170"/>
      <c r="S124" s="170"/>
    </row>
    <row r="125" spans="1:19">
      <c r="A125" s="176">
        <v>10</v>
      </c>
      <c r="B125" s="177" t="s">
        <v>1246</v>
      </c>
      <c r="C125" s="78" t="s">
        <v>1247</v>
      </c>
      <c r="D125" s="175" t="s">
        <v>1248</v>
      </c>
      <c r="G125" s="170"/>
      <c r="H125" s="186"/>
      <c r="I125" s="175"/>
      <c r="J125" s="192">
        <v>1</v>
      </c>
      <c r="K125" s="170"/>
      <c r="L125" s="185" t="s">
        <v>1249</v>
      </c>
      <c r="M125" s="170"/>
      <c r="N125" s="170"/>
      <c r="O125" s="222" t="s">
        <v>1248</v>
      </c>
      <c r="P125" s="170"/>
      <c r="Q125" s="184">
        <v>10</v>
      </c>
      <c r="R125" s="177" t="str">
        <f>CONCATENATE($R$122,".",TEXT(Q125,"0000"))</f>
        <v>II-0011.0010</v>
      </c>
      <c r="S125" s="170" t="str">
        <f>CONCATENATE($K$124," - TIPO ",L125)</f>
        <v>HORMIGON - TIPO H-8558</v>
      </c>
    </row>
    <row r="126" spans="1:19">
      <c r="A126" s="176">
        <v>11</v>
      </c>
      <c r="B126" s="177" t="s">
        <v>1250</v>
      </c>
      <c r="C126" s="78" t="s">
        <v>1251</v>
      </c>
      <c r="D126" s="175" t="s">
        <v>1248</v>
      </c>
      <c r="G126" s="170"/>
      <c r="H126" s="186"/>
      <c r="I126" s="175"/>
      <c r="J126" s="192">
        <v>2</v>
      </c>
      <c r="K126" s="170"/>
      <c r="L126" s="185" t="s">
        <v>1252</v>
      </c>
      <c r="M126" s="170"/>
      <c r="N126" s="170"/>
      <c r="O126" s="222" t="s">
        <v>1248</v>
      </c>
      <c r="P126" s="170"/>
      <c r="Q126" s="184">
        <v>11</v>
      </c>
      <c r="R126" s="177" t="str">
        <f>CONCATENATE($R$122,".",TEXT(Q126,"0000"))</f>
        <v>II-0011.0011</v>
      </c>
      <c r="S126" s="170" t="str">
        <f t="shared" ref="S126:S127" si="14">CONCATENATE($K$124," - TIPO ",L126)</f>
        <v>HORMIGON - TIPO H-2350</v>
      </c>
    </row>
    <row r="127" spans="1:19">
      <c r="A127" s="176">
        <v>12</v>
      </c>
      <c r="B127" s="177" t="s">
        <v>1253</v>
      </c>
      <c r="C127" s="78" t="s">
        <v>1254</v>
      </c>
      <c r="D127" s="175" t="s">
        <v>1248</v>
      </c>
      <c r="G127" s="170"/>
      <c r="H127" s="186"/>
      <c r="I127" s="175"/>
      <c r="J127" s="195">
        <v>3</v>
      </c>
      <c r="K127" s="170"/>
      <c r="L127" s="185" t="s">
        <v>1255</v>
      </c>
      <c r="M127" s="170"/>
      <c r="N127" s="170"/>
      <c r="O127" s="222" t="s">
        <v>1248</v>
      </c>
      <c r="P127" s="170"/>
      <c r="Q127" s="184">
        <v>12</v>
      </c>
      <c r="R127" s="177" t="str">
        <f>CONCATENATE($R$122,".",TEXT(Q127,"0000"))</f>
        <v>II-0011.0012</v>
      </c>
      <c r="S127" s="170" t="str">
        <f t="shared" si="14"/>
        <v>HORMIGON - TIPO H-7691</v>
      </c>
    </row>
    <row r="128" spans="1:19">
      <c r="A128" s="176">
        <v>12</v>
      </c>
      <c r="B128" s="169" t="s">
        <v>1253</v>
      </c>
      <c r="C128" s="78" t="s">
        <v>1089</v>
      </c>
      <c r="D128" s="175" t="s">
        <v>1256</v>
      </c>
      <c r="G128" s="170"/>
      <c r="H128" s="186"/>
      <c r="I128" s="187" t="s">
        <v>1057</v>
      </c>
      <c r="J128" s="228"/>
      <c r="K128" s="245" t="s">
        <v>1089</v>
      </c>
      <c r="L128" s="228"/>
      <c r="M128" s="228"/>
      <c r="N128" s="228"/>
      <c r="O128" s="244" t="s">
        <v>1256</v>
      </c>
      <c r="P128" s="170"/>
      <c r="Q128" s="184">
        <v>12</v>
      </c>
      <c r="R128" s="177" t="str">
        <f>CONCATENATE($R$122,".",TEXT(Q128,"0000"))</f>
        <v>II-0011.0012</v>
      </c>
      <c r="S128" s="170" t="str">
        <f>CONCATENATE($K$128)</f>
        <v>RETIRO</v>
      </c>
    </row>
    <row r="129" spans="1:19" ht="15.75" thickBot="1">
      <c r="A129" s="176">
        <v>12</v>
      </c>
      <c r="B129" s="169" t="s">
        <v>1253</v>
      </c>
      <c r="C129" s="78" t="s">
        <v>1257</v>
      </c>
      <c r="D129" s="175" t="s">
        <v>1256</v>
      </c>
      <c r="G129" s="170"/>
      <c r="H129" s="201"/>
      <c r="I129" s="213" t="s">
        <v>1083</v>
      </c>
      <c r="J129" s="216"/>
      <c r="K129" s="247" t="s">
        <v>1257</v>
      </c>
      <c r="L129" s="216"/>
      <c r="M129" s="216"/>
      <c r="N129" s="216"/>
      <c r="O129" s="248" t="s">
        <v>1256</v>
      </c>
      <c r="P129" s="170"/>
      <c r="Q129" s="184">
        <v>12</v>
      </c>
      <c r="R129" s="177" t="str">
        <f>CONCATENATE($R$122,".",TEXT(Q129,"0000"))</f>
        <v>II-0011.0012</v>
      </c>
      <c r="S129" s="170" t="str">
        <f>CONCATENATE($K$129)</f>
        <v>RETIRO,REPARACION, RECOLOCACION</v>
      </c>
    </row>
    <row r="130" spans="1:19" ht="15.75" thickTop="1">
      <c r="A130" s="176"/>
      <c r="B130" s="169"/>
      <c r="C130" s="194"/>
      <c r="D130" s="175"/>
      <c r="G130" s="170"/>
      <c r="H130" s="186"/>
      <c r="I130" s="175"/>
      <c r="J130" s="170"/>
      <c r="K130" s="185"/>
      <c r="L130" s="170"/>
      <c r="M130" s="170"/>
      <c r="N130" s="170"/>
      <c r="O130" s="222"/>
      <c r="P130" s="170"/>
      <c r="Q130" s="170"/>
      <c r="R130" s="170"/>
      <c r="S130" s="170"/>
    </row>
    <row r="131" spans="1:19">
      <c r="A131" s="176">
        <v>12</v>
      </c>
      <c r="B131" s="177" t="s">
        <v>1258</v>
      </c>
      <c r="C131" s="78" t="s">
        <v>1259</v>
      </c>
      <c r="D131" s="175"/>
      <c r="G131" s="170"/>
      <c r="H131" s="208">
        <v>12</v>
      </c>
      <c r="I131" s="210"/>
      <c r="J131" s="220"/>
      <c r="K131" s="265" t="s">
        <v>1259</v>
      </c>
      <c r="L131" s="220"/>
      <c r="M131" s="220"/>
      <c r="N131" s="220"/>
      <c r="O131" s="230"/>
      <c r="P131" s="170"/>
      <c r="Q131" s="184">
        <f>H131</f>
        <v>12</v>
      </c>
      <c r="R131" s="175" t="str">
        <f>CONCATENATE("II-",TEXT(Q131,"0000"))</f>
        <v>II-0012</v>
      </c>
      <c r="S131" s="185" t="str">
        <f>K131</f>
        <v>BANQUINA</v>
      </c>
    </row>
    <row r="132" spans="1:19">
      <c r="A132" s="176">
        <v>1</v>
      </c>
      <c r="B132" s="177" t="str">
        <f>CONCATENATE($B$131,".",TEXT(A132,"0000"))</f>
        <v>II-0012.0001</v>
      </c>
      <c r="C132" s="170" t="str">
        <f>CONCATENATE($K$132)</f>
        <v xml:space="preserve">SUELO </v>
      </c>
      <c r="D132" s="175" t="s">
        <v>1131</v>
      </c>
      <c r="G132" s="170"/>
      <c r="H132" s="186"/>
      <c r="I132" s="187" t="s">
        <v>1020</v>
      </c>
      <c r="J132" s="228"/>
      <c r="K132" s="245" t="s">
        <v>1260</v>
      </c>
      <c r="L132" s="228"/>
      <c r="M132" s="228"/>
      <c r="N132" s="228"/>
      <c r="O132" s="244" t="s">
        <v>1131</v>
      </c>
      <c r="P132" s="170"/>
      <c r="Q132" s="184">
        <v>1</v>
      </c>
      <c r="R132" s="177" t="str">
        <f>CONCATENATE($L$131,".",TEXT(Q132,"0000"))</f>
        <v>.0001</v>
      </c>
      <c r="S132" s="170" t="str">
        <f>CONCATENATE($E$132)</f>
        <v/>
      </c>
    </row>
    <row r="133" spans="1:19">
      <c r="A133" s="176">
        <v>2</v>
      </c>
      <c r="B133" s="177" t="str">
        <f>CONCATENATE($B$131,".",TEXT(A133,"0000"))</f>
        <v>II-0012.0002</v>
      </c>
      <c r="C133" s="170" t="str">
        <f>CONCATENATE($K$132)</f>
        <v xml:space="preserve">SUELO </v>
      </c>
      <c r="D133" s="175" t="s">
        <v>1131</v>
      </c>
      <c r="G133" s="170"/>
      <c r="H133" s="186"/>
      <c r="I133" s="187" t="s">
        <v>1047</v>
      </c>
      <c r="J133" s="228"/>
      <c r="K133" s="245" t="s">
        <v>1261</v>
      </c>
      <c r="L133" s="228"/>
      <c r="M133" s="228"/>
      <c r="N133" s="228"/>
      <c r="O133" s="244" t="s">
        <v>1131</v>
      </c>
      <c r="P133" s="170"/>
      <c r="Q133" s="184">
        <v>2</v>
      </c>
      <c r="R133" s="177" t="str">
        <f>CONCATENATE($L$131,".",TEXT(Q133,"0000"))</f>
        <v>.0002</v>
      </c>
      <c r="S133" s="170" t="str">
        <f>CONCATENATE($E$133)</f>
        <v/>
      </c>
    </row>
    <row r="134" spans="1:19">
      <c r="A134" s="176"/>
      <c r="B134" s="78"/>
      <c r="C134" s="78"/>
      <c r="D134" s="175"/>
      <c r="G134" s="170"/>
      <c r="H134" s="186"/>
      <c r="I134" s="187" t="s">
        <v>1057</v>
      </c>
      <c r="J134" s="170"/>
      <c r="K134" s="185" t="s">
        <v>1262</v>
      </c>
      <c r="L134" s="170"/>
      <c r="M134" s="170"/>
      <c r="N134" s="170"/>
      <c r="O134" s="222"/>
      <c r="P134" s="170"/>
      <c r="Q134" s="170"/>
      <c r="R134" s="170"/>
      <c r="S134" s="170"/>
    </row>
    <row r="135" spans="1:19">
      <c r="A135" s="176">
        <v>3</v>
      </c>
      <c r="B135" s="177" t="str">
        <f t="shared" ref="B135:B136" si="15">CONCATENATE($B$131,".",TEXT(A135,"0000"))</f>
        <v>II-0012.0003</v>
      </c>
      <c r="C135" s="170" t="str">
        <f>CONCATENATE($K$134," - TIPO ",L135)</f>
        <v xml:space="preserve">PAVIMENTO - TIPO CARPETA </v>
      </c>
      <c r="D135" s="175" t="s">
        <v>1214</v>
      </c>
      <c r="G135" s="170"/>
      <c r="H135" s="186"/>
      <c r="I135" s="175"/>
      <c r="J135" s="192">
        <v>1</v>
      </c>
      <c r="K135" s="170"/>
      <c r="L135" s="185" t="s">
        <v>1263</v>
      </c>
      <c r="M135" s="170"/>
      <c r="N135" s="170"/>
      <c r="O135" s="222" t="s">
        <v>1214</v>
      </c>
      <c r="P135" s="170"/>
      <c r="Q135" s="184">
        <v>3</v>
      </c>
      <c r="R135" s="177" t="str">
        <f t="shared" ref="R135:R136" si="16">CONCATENATE($L$131,".",TEXT(Q135,"0000"))</f>
        <v>.0003</v>
      </c>
      <c r="S135" s="170" t="str">
        <f>CONCATENATE($E$134," TIPO ",L135)</f>
        <v xml:space="preserve"> TIPO CARPETA </v>
      </c>
    </row>
    <row r="136" spans="1:19" ht="15.75" thickBot="1">
      <c r="A136" s="176">
        <v>4</v>
      </c>
      <c r="B136" s="177" t="str">
        <f t="shared" si="15"/>
        <v>II-0012.0004</v>
      </c>
      <c r="C136" s="170" t="str">
        <f>CONCATENATE($K$134," - TIPO ",L136)</f>
        <v>PAVIMENTO - TIPO TRATAMIENTO</v>
      </c>
      <c r="D136" s="175" t="s">
        <v>1214</v>
      </c>
      <c r="G136" s="170"/>
      <c r="H136" s="201"/>
      <c r="I136" s="202"/>
      <c r="J136" s="203">
        <v>2</v>
      </c>
      <c r="K136" s="204"/>
      <c r="L136" s="205" t="s">
        <v>1264</v>
      </c>
      <c r="M136" s="204"/>
      <c r="N136" s="204"/>
      <c r="O136" s="266" t="s">
        <v>1214</v>
      </c>
      <c r="P136" s="170"/>
      <c r="Q136" s="184">
        <v>4</v>
      </c>
      <c r="R136" s="177" t="str">
        <f t="shared" si="16"/>
        <v>.0004</v>
      </c>
      <c r="S136" s="170" t="str">
        <f>CONCATENATE($E$134," TIPO ",L136)</f>
        <v xml:space="preserve"> TIPO TRATAMIENTO</v>
      </c>
    </row>
    <row r="137" spans="1:19" ht="15.75" thickTop="1">
      <c r="A137" s="176"/>
      <c r="B137" s="177"/>
      <c r="C137" s="78"/>
      <c r="D137" s="175"/>
      <c r="G137" s="170"/>
      <c r="H137" s="186"/>
      <c r="I137" s="175"/>
      <c r="J137" s="175"/>
      <c r="K137" s="170"/>
      <c r="L137" s="185"/>
      <c r="M137" s="170"/>
      <c r="N137" s="170"/>
      <c r="O137" s="222"/>
      <c r="P137" s="170"/>
      <c r="Q137" s="184"/>
      <c r="R137" s="170"/>
      <c r="S137" s="170"/>
    </row>
    <row r="138" spans="1:19">
      <c r="A138" s="176">
        <v>13</v>
      </c>
      <c r="B138" s="177" t="s">
        <v>1265</v>
      </c>
      <c r="C138" s="78" t="s">
        <v>1266</v>
      </c>
      <c r="D138" s="175"/>
      <c r="G138" s="170"/>
      <c r="H138" s="208">
        <v>13</v>
      </c>
      <c r="I138" s="210"/>
      <c r="J138" s="220"/>
      <c r="K138" s="265" t="s">
        <v>1266</v>
      </c>
      <c r="L138" s="220"/>
      <c r="M138" s="220"/>
      <c r="N138" s="220"/>
      <c r="O138" s="230"/>
      <c r="P138" s="170"/>
      <c r="Q138" s="184">
        <f>H138</f>
        <v>13</v>
      </c>
      <c r="R138" s="175" t="str">
        <f>CONCATENATE("II-",TEXT(Q138,"0000"))</f>
        <v>II-0013</v>
      </c>
      <c r="S138" s="185" t="str">
        <f>K138</f>
        <v>BARANDA METALICA DE DEFENSA</v>
      </c>
    </row>
    <row r="139" spans="1:19">
      <c r="A139" s="176"/>
      <c r="B139" s="177"/>
      <c r="C139" s="78"/>
      <c r="D139" s="175"/>
      <c r="G139" s="170"/>
      <c r="H139" s="221"/>
      <c r="I139" s="187" t="s">
        <v>1020</v>
      </c>
      <c r="J139" s="170"/>
      <c r="K139" s="185" t="s">
        <v>1267</v>
      </c>
      <c r="L139" s="190"/>
      <c r="M139" s="190"/>
      <c r="N139" s="190"/>
      <c r="O139" s="231"/>
      <c r="P139" s="170"/>
      <c r="Q139" s="170"/>
      <c r="R139" s="170"/>
      <c r="S139" s="170"/>
    </row>
    <row r="140" spans="1:19">
      <c r="A140" s="176">
        <v>1</v>
      </c>
      <c r="B140" s="177" t="str">
        <f>CONCATENATE($B$138,".",TEXT(A140,"0000"))</f>
        <v>II-0013.0001</v>
      </c>
      <c r="C140" s="170" t="str">
        <f>CONCATENATE($K$139," - TIPO ",L140)</f>
        <v>VEHICULAR  H-10237 - TIPO LIVIANA  ( A )</v>
      </c>
      <c r="D140" s="175" t="s">
        <v>996</v>
      </c>
      <c r="G140" s="170"/>
      <c r="H140" s="186"/>
      <c r="I140" s="175"/>
      <c r="J140" s="192">
        <v>1</v>
      </c>
      <c r="K140" s="170"/>
      <c r="L140" s="185" t="s">
        <v>1268</v>
      </c>
      <c r="M140" s="170"/>
      <c r="N140" s="170"/>
      <c r="O140" s="222" t="s">
        <v>996</v>
      </c>
      <c r="P140" s="170"/>
      <c r="Q140" s="184">
        <v>1</v>
      </c>
      <c r="R140" s="177" t="str">
        <f>CONCATENATE($L$138,".",TEXT(Q140,"0000"))</f>
        <v>.0001</v>
      </c>
      <c r="S140" s="170" t="str">
        <f>CONCATENATE($E$139," TIPO ",L140)</f>
        <v xml:space="preserve"> TIPO LIVIANA  ( A )</v>
      </c>
    </row>
    <row r="141" spans="1:19">
      <c r="A141" s="176">
        <v>2</v>
      </c>
      <c r="B141" s="177" t="str">
        <f>CONCATENATE($B$138,".",TEXT(A141,"0000"))</f>
        <v>II-0013.0002</v>
      </c>
      <c r="C141" s="170" t="str">
        <f>CONCATENATE($K$139," - TIPO ",L141)</f>
        <v>VEHICULAR  H-10237 - TIPO PESADA ( B )</v>
      </c>
      <c r="D141" s="175" t="s">
        <v>996</v>
      </c>
      <c r="G141" s="170"/>
      <c r="H141" s="186"/>
      <c r="I141" s="175"/>
      <c r="J141" s="195">
        <v>2</v>
      </c>
      <c r="K141" s="196"/>
      <c r="L141" s="197" t="s">
        <v>1269</v>
      </c>
      <c r="M141" s="196"/>
      <c r="N141" s="196"/>
      <c r="O141" s="240" t="s">
        <v>996</v>
      </c>
      <c r="P141" s="170"/>
      <c r="Q141" s="184">
        <v>2</v>
      </c>
      <c r="R141" s="177" t="str">
        <f>CONCATENATE($L$138,".",TEXT(Q141,"0000"))</f>
        <v>.0002</v>
      </c>
      <c r="S141" s="170" t="str">
        <f>CONCATENATE($E$139," TIPO ",L141)</f>
        <v xml:space="preserve"> TIPO PESADA ( B )</v>
      </c>
    </row>
    <row r="142" spans="1:19">
      <c r="A142" s="176"/>
      <c r="B142" s="177"/>
      <c r="C142" s="78"/>
      <c r="D142" s="175" t="s">
        <v>996</v>
      </c>
      <c r="G142" s="170"/>
      <c r="H142" s="186"/>
      <c r="I142" s="187" t="s">
        <v>1047</v>
      </c>
      <c r="J142" s="170"/>
      <c r="K142" s="185" t="s">
        <v>1270</v>
      </c>
      <c r="L142" s="170"/>
      <c r="M142" s="170"/>
      <c r="N142" s="170"/>
      <c r="O142" s="222" t="s">
        <v>996</v>
      </c>
      <c r="P142" s="170"/>
      <c r="Q142" s="170"/>
      <c r="R142" s="170"/>
      <c r="S142" s="170"/>
    </row>
    <row r="143" spans="1:19">
      <c r="A143" s="176">
        <v>3</v>
      </c>
      <c r="B143" s="177" t="str">
        <f t="shared" ref="B143:B146" si="17">CONCATENATE($B$138,".",TEXT(A143,"0000"))</f>
        <v>II-0013.0003</v>
      </c>
      <c r="C143" s="170" t="str">
        <f>CONCATENATE($K$142," - TIPO ",L143)</f>
        <v>PEATONAL  H-10237 - TIPO LIVIANA  ( A )</v>
      </c>
      <c r="D143" s="175" t="s">
        <v>996</v>
      </c>
      <c r="G143" s="170"/>
      <c r="H143" s="186"/>
      <c r="I143" s="175"/>
      <c r="J143" s="192">
        <v>1</v>
      </c>
      <c r="K143" s="170"/>
      <c r="L143" s="185" t="s">
        <v>1268</v>
      </c>
      <c r="M143" s="170"/>
      <c r="N143" s="170"/>
      <c r="O143" s="222" t="s">
        <v>996</v>
      </c>
      <c r="P143" s="170"/>
      <c r="Q143" s="184">
        <v>3</v>
      </c>
      <c r="R143" s="177" t="str">
        <f>CONCATENATE($L$138,".",TEXT(Q143,"0000"))</f>
        <v>.0003</v>
      </c>
      <c r="S143" s="170" t="str">
        <f>CONCATENATE($E$142," TIPO ",L143)</f>
        <v xml:space="preserve"> TIPO LIVIANA  ( A )</v>
      </c>
    </row>
    <row r="144" spans="1:19">
      <c r="A144" s="176">
        <v>4</v>
      </c>
      <c r="B144" s="177" t="str">
        <f t="shared" si="17"/>
        <v>II-0013.0004</v>
      </c>
      <c r="C144" s="170" t="str">
        <f>CONCATENATE($K$142," - TIPO ",L144)</f>
        <v>PEATONAL  H-10237 - TIPO PESADA ( B )</v>
      </c>
      <c r="D144" s="175" t="s">
        <v>996</v>
      </c>
      <c r="G144" s="170"/>
      <c r="H144" s="186"/>
      <c r="I144" s="175"/>
      <c r="J144" s="195">
        <v>2</v>
      </c>
      <c r="K144" s="170"/>
      <c r="L144" s="185" t="s">
        <v>1269</v>
      </c>
      <c r="M144" s="170"/>
      <c r="N144" s="170"/>
      <c r="O144" s="222" t="s">
        <v>996</v>
      </c>
      <c r="P144" s="170"/>
      <c r="Q144" s="184">
        <v>4</v>
      </c>
      <c r="R144" s="177" t="str">
        <f>CONCATENATE($L$138,".",TEXT(Q144,"0000"))</f>
        <v>.0004</v>
      </c>
      <c r="S144" s="170" t="str">
        <f>CONCATENATE($E$142," TIPO ",L144)</f>
        <v xml:space="preserve"> TIPO PESADA ( B )</v>
      </c>
    </row>
    <row r="145" spans="1:19">
      <c r="A145" s="176">
        <v>10</v>
      </c>
      <c r="B145" s="177" t="str">
        <f t="shared" si="17"/>
        <v>II-0013.0010</v>
      </c>
      <c r="C145" s="170" t="str">
        <f>CONCATENATE($K$145)</f>
        <v xml:space="preserve">RETIRO </v>
      </c>
      <c r="D145" s="175" t="s">
        <v>996</v>
      </c>
      <c r="G145" s="170"/>
      <c r="H145" s="186"/>
      <c r="I145" s="187" t="s">
        <v>1057</v>
      </c>
      <c r="J145" s="228"/>
      <c r="K145" s="245" t="s">
        <v>1139</v>
      </c>
      <c r="L145" s="228"/>
      <c r="M145" s="228"/>
      <c r="N145" s="228"/>
      <c r="O145" s="244" t="s">
        <v>996</v>
      </c>
      <c r="P145" s="170"/>
      <c r="Q145" s="184">
        <v>10</v>
      </c>
      <c r="R145" s="177" t="str">
        <f t="shared" ref="R145:R146" si="18">CONCATENATE($L$138,".",TEXT(Q145,"0000"))</f>
        <v>.0010</v>
      </c>
      <c r="S145" s="170" t="str">
        <f>CONCATENATE($E$145)</f>
        <v/>
      </c>
    </row>
    <row r="146" spans="1:19" ht="15.75" thickBot="1">
      <c r="A146" s="176">
        <v>11</v>
      </c>
      <c r="B146" s="177" t="str">
        <f t="shared" si="17"/>
        <v>II-0013.0011</v>
      </c>
      <c r="C146" s="170" t="str">
        <f>CONCATENATE(K146)</f>
        <v>RETIRO Y REPARACION</v>
      </c>
      <c r="D146" s="175" t="s">
        <v>996</v>
      </c>
      <c r="G146" s="170"/>
      <c r="H146" s="232"/>
      <c r="I146" s="267" t="s">
        <v>1083</v>
      </c>
      <c r="J146" s="235"/>
      <c r="K146" s="236" t="s">
        <v>1271</v>
      </c>
      <c r="L146" s="235"/>
      <c r="M146" s="235"/>
      <c r="N146" s="235"/>
      <c r="O146" s="268" t="s">
        <v>996</v>
      </c>
      <c r="P146" s="170"/>
      <c r="Q146" s="184">
        <v>11</v>
      </c>
      <c r="R146" s="177" t="str">
        <f t="shared" si="18"/>
        <v>.0011</v>
      </c>
      <c r="S146" s="170" t="str">
        <f>CONCATENATE($E$146)</f>
        <v/>
      </c>
    </row>
    <row r="147" spans="1:19">
      <c r="A147" s="176"/>
      <c r="B147" s="177"/>
      <c r="C147" s="78"/>
      <c r="D147" s="175"/>
      <c r="G147" s="170"/>
      <c r="H147" s="186"/>
      <c r="I147" s="175"/>
      <c r="J147" s="170"/>
      <c r="K147" s="185"/>
      <c r="L147" s="170"/>
      <c r="M147" s="170"/>
      <c r="N147" s="170"/>
      <c r="O147" s="222"/>
      <c r="P147" s="170"/>
      <c r="Q147" s="184"/>
      <c r="R147" s="177"/>
      <c r="S147" s="170"/>
    </row>
    <row r="148" spans="1:19">
      <c r="A148" s="176">
        <v>14</v>
      </c>
      <c r="B148" s="169" t="s">
        <v>1272</v>
      </c>
      <c r="C148" s="78" t="s">
        <v>1273</v>
      </c>
      <c r="D148" s="175"/>
      <c r="G148" s="170"/>
      <c r="H148" s="208">
        <v>14</v>
      </c>
      <c r="I148" s="269"/>
      <c r="J148" s="270"/>
      <c r="K148" s="256" t="s">
        <v>1273</v>
      </c>
      <c r="L148" s="270"/>
      <c r="M148" s="270"/>
      <c r="N148" s="270"/>
      <c r="O148" s="271"/>
      <c r="P148" s="170"/>
      <c r="Q148" s="184">
        <f>H148</f>
        <v>14</v>
      </c>
      <c r="R148" s="175" t="str">
        <f>CONCATENATE("II-",TEXT(Q148,"0000"))</f>
        <v>II-0014</v>
      </c>
      <c r="S148" s="185" t="str">
        <f>K148</f>
        <v>BASE</v>
      </c>
    </row>
    <row r="149" spans="1:19">
      <c r="A149" s="176">
        <v>1</v>
      </c>
      <c r="B149" s="177" t="str">
        <f>CONCATENATE($B$148,".",TEXT(A149,"0000"))</f>
        <v>II-0014.0001</v>
      </c>
      <c r="C149" s="78" t="s">
        <v>1274</v>
      </c>
      <c r="D149" s="175" t="s">
        <v>1131</v>
      </c>
      <c r="G149" s="170"/>
      <c r="H149" s="186"/>
      <c r="I149" s="187" t="s">
        <v>1020</v>
      </c>
      <c r="J149" s="228"/>
      <c r="K149" s="245" t="s">
        <v>1274</v>
      </c>
      <c r="L149" s="228"/>
      <c r="M149" s="228"/>
      <c r="N149" s="228"/>
      <c r="O149" s="244" t="s">
        <v>1131</v>
      </c>
      <c r="P149" s="170"/>
      <c r="Q149" s="184">
        <v>1</v>
      </c>
      <c r="R149" s="177" t="str">
        <f>CONCATENATE($L$148,".",TEXT(Q149,"0000"))</f>
        <v>.0001</v>
      </c>
      <c r="S149" s="170" t="str">
        <f>CONCATENATE(K149)</f>
        <v>ARENA ASFALTO</v>
      </c>
    </row>
    <row r="150" spans="1:19">
      <c r="A150" s="176">
        <v>2</v>
      </c>
      <c r="B150" s="177" t="str">
        <f>CONCATENATE($B$148,".",TEXT(A150,"0000"))</f>
        <v>II-0014.0002</v>
      </c>
      <c r="C150" s="194" t="s">
        <v>1275</v>
      </c>
      <c r="D150" s="175" t="s">
        <v>1131</v>
      </c>
      <c r="G150" s="170"/>
      <c r="H150" s="186"/>
      <c r="I150" s="187" t="s">
        <v>1047</v>
      </c>
      <c r="J150" s="228"/>
      <c r="K150" s="245" t="s">
        <v>1275</v>
      </c>
      <c r="L150" s="228"/>
      <c r="M150" s="228"/>
      <c r="N150" s="228"/>
      <c r="O150" s="244" t="s">
        <v>1131</v>
      </c>
      <c r="P150" s="170"/>
      <c r="Q150" s="184">
        <v>2</v>
      </c>
      <c r="R150" s="177" t="str">
        <f>CONCATENATE($L$148,".",TEXT(Q150,"0000"))</f>
        <v>.0002</v>
      </c>
      <c r="S150" s="170" t="str">
        <f>CONCATENATE(K150)</f>
        <v>CONCRETO ASFALTICO BITUMINOSO</v>
      </c>
    </row>
    <row r="151" spans="1:19">
      <c r="A151" s="176"/>
      <c r="B151" s="177"/>
      <c r="C151" s="78"/>
      <c r="D151" s="175"/>
      <c r="G151" s="170"/>
      <c r="H151" s="186"/>
      <c r="I151" s="195" t="s">
        <v>1057</v>
      </c>
      <c r="J151" s="170"/>
      <c r="K151" s="185" t="s">
        <v>1276</v>
      </c>
      <c r="L151" s="170"/>
      <c r="M151" s="170"/>
      <c r="N151" s="170"/>
      <c r="O151" s="222"/>
      <c r="P151" s="170"/>
      <c r="Q151" s="170"/>
      <c r="R151" s="170"/>
      <c r="S151" s="170"/>
    </row>
    <row r="152" spans="1:19">
      <c r="A152" s="176">
        <v>3</v>
      </c>
      <c r="B152" s="177" t="str">
        <f t="shared" ref="B152:B154" si="19">CONCATENATE($B$148,".",TEXT(A152,"0000"))</f>
        <v>II-0014.0003</v>
      </c>
      <c r="C152" s="170" t="str">
        <f>CONCATENATE($K$151," - TIPO ",L152)</f>
        <v>GRANULAR - TIPO ANTICOGELANTES</v>
      </c>
      <c r="D152" s="175" t="s">
        <v>1131</v>
      </c>
      <c r="G152" s="170"/>
      <c r="H152" s="186"/>
      <c r="I152" s="175"/>
      <c r="J152" s="192">
        <v>1</v>
      </c>
      <c r="K152" s="170"/>
      <c r="L152" s="185" t="s">
        <v>1277</v>
      </c>
      <c r="M152" s="170"/>
      <c r="N152" s="170"/>
      <c r="O152" s="222" t="s">
        <v>1131</v>
      </c>
      <c r="P152" s="170"/>
      <c r="Q152" s="184">
        <v>3</v>
      </c>
      <c r="R152" s="177" t="str">
        <f>CONCATENATE($L$148,".",TEXT(Q152,"0000"))</f>
        <v>.0003</v>
      </c>
      <c r="S152" s="170" t="str">
        <f>CONCATENATE($E$151," ",L152)</f>
        <v xml:space="preserve"> ANTICOGELANTES</v>
      </c>
    </row>
    <row r="153" spans="1:19">
      <c r="A153" s="176">
        <v>4</v>
      </c>
      <c r="B153" s="177" t="str">
        <f t="shared" si="19"/>
        <v>II-0014.0004</v>
      </c>
      <c r="C153" s="170" t="str">
        <f t="shared" ref="C153:C154" si="20">CONCATENATE($K$151," - TIPO ",L153)</f>
        <v>GRANULAR - TIPO DRENANTES</v>
      </c>
      <c r="D153" s="175" t="s">
        <v>1131</v>
      </c>
      <c r="G153" s="170"/>
      <c r="H153" s="186"/>
      <c r="I153" s="175"/>
      <c r="J153" s="192">
        <v>2</v>
      </c>
      <c r="K153" s="185"/>
      <c r="L153" s="185" t="s">
        <v>1278</v>
      </c>
      <c r="M153" s="170"/>
      <c r="N153" s="170"/>
      <c r="O153" s="222" t="s">
        <v>1131</v>
      </c>
      <c r="P153" s="170"/>
      <c r="Q153" s="184">
        <v>4</v>
      </c>
      <c r="R153" s="177" t="str">
        <f t="shared" ref="R153:R154" si="21">CONCATENATE($L$148,".",TEXT(Q153,"0000"))</f>
        <v>.0004</v>
      </c>
      <c r="S153" s="170" t="str">
        <f t="shared" ref="S153" si="22">CONCATENATE($E$151," ",L153)</f>
        <v xml:space="preserve"> DRENANTES</v>
      </c>
    </row>
    <row r="154" spans="1:19" ht="15.75" thickBot="1">
      <c r="A154" s="176">
        <v>5</v>
      </c>
      <c r="B154" s="177" t="str">
        <f t="shared" si="19"/>
        <v>II-0014.0005</v>
      </c>
      <c r="C154" s="170" t="str">
        <f t="shared" si="20"/>
        <v>GRANULAR - TIPO GRANULAR</v>
      </c>
      <c r="D154" s="175" t="s">
        <v>1131</v>
      </c>
      <c r="G154" s="170"/>
      <c r="H154" s="232"/>
      <c r="I154" s="272"/>
      <c r="J154" s="234">
        <v>3</v>
      </c>
      <c r="K154" s="236"/>
      <c r="L154" s="236" t="s">
        <v>1276</v>
      </c>
      <c r="M154" s="235"/>
      <c r="N154" s="235"/>
      <c r="O154" s="268" t="s">
        <v>1131</v>
      </c>
      <c r="P154" s="170"/>
      <c r="Q154" s="184">
        <v>5</v>
      </c>
      <c r="R154" s="177" t="str">
        <f t="shared" si="21"/>
        <v>.0005</v>
      </c>
      <c r="S154" s="170" t="str">
        <f>CONCATENATE($E$151)</f>
        <v/>
      </c>
    </row>
    <row r="155" spans="1:19">
      <c r="A155" s="176"/>
      <c r="B155" s="177"/>
      <c r="C155" s="78"/>
      <c r="D155" s="175"/>
      <c r="G155" s="170"/>
      <c r="H155" s="238"/>
      <c r="I155" s="175"/>
      <c r="J155" s="175"/>
      <c r="K155" s="185"/>
      <c r="L155" s="185"/>
      <c r="M155" s="170"/>
      <c r="N155" s="170"/>
      <c r="O155" s="173"/>
      <c r="P155" s="170"/>
      <c r="Q155" s="184"/>
      <c r="R155" s="170"/>
      <c r="S155" s="170"/>
    </row>
    <row r="156" spans="1:19">
      <c r="A156" s="176"/>
      <c r="B156" s="177"/>
      <c r="C156" s="78"/>
      <c r="D156" s="175"/>
      <c r="G156" s="170"/>
      <c r="H156" s="208">
        <v>14</v>
      </c>
      <c r="I156" s="210"/>
      <c r="J156" s="220"/>
      <c r="K156" s="265" t="s">
        <v>1273</v>
      </c>
      <c r="L156" s="220"/>
      <c r="M156" s="220"/>
      <c r="N156" s="220"/>
      <c r="O156" s="230"/>
      <c r="P156" s="170"/>
      <c r="Q156" s="184"/>
      <c r="R156" s="170"/>
      <c r="S156" s="170"/>
    </row>
    <row r="157" spans="1:19">
      <c r="A157" s="176">
        <v>6</v>
      </c>
      <c r="B157" s="177" t="str">
        <f t="shared" ref="B157" si="23">CONCATENATE($B$148,".",TEXT(A157,"0000"))</f>
        <v>II-0014.0006</v>
      </c>
      <c r="C157" s="170" t="str">
        <f>CONCATENATE(K157)</f>
        <v>AGREGADO PETREO Y SUELO</v>
      </c>
      <c r="D157" s="175" t="s">
        <v>1131</v>
      </c>
      <c r="G157" s="170"/>
      <c r="H157" s="186"/>
      <c r="I157" s="187" t="s">
        <v>1083</v>
      </c>
      <c r="J157" s="228"/>
      <c r="K157" s="245" t="s">
        <v>1279</v>
      </c>
      <c r="L157" s="228"/>
      <c r="M157" s="228"/>
      <c r="N157" s="228"/>
      <c r="O157" s="244" t="s">
        <v>1131</v>
      </c>
      <c r="P157" s="170"/>
      <c r="Q157" s="184">
        <v>6</v>
      </c>
      <c r="R157" s="177" t="str">
        <f t="shared" ref="R157" si="24">CONCATENATE($L$148,".",TEXT(Q157,"0000"))</f>
        <v>.0006</v>
      </c>
      <c r="S157" s="170" t="str">
        <f>CONCATENATE($E$157)</f>
        <v/>
      </c>
    </row>
    <row r="158" spans="1:19">
      <c r="A158" s="176"/>
      <c r="B158" s="177"/>
      <c r="C158" s="78"/>
      <c r="D158" s="175"/>
      <c r="G158" s="170"/>
      <c r="H158" s="186"/>
      <c r="I158" s="187" t="s">
        <v>1125</v>
      </c>
      <c r="J158" s="170"/>
      <c r="K158" s="185" t="s">
        <v>1134</v>
      </c>
      <c r="L158" s="170"/>
      <c r="M158" s="170"/>
      <c r="N158" s="170"/>
      <c r="O158" s="222"/>
      <c r="P158" s="170"/>
      <c r="Q158" s="170"/>
      <c r="R158" s="170"/>
      <c r="S158" s="170"/>
    </row>
    <row r="159" spans="1:19">
      <c r="A159" s="176">
        <v>10</v>
      </c>
      <c r="B159" s="177" t="str">
        <f t="shared" ref="B159:B167" si="25">CONCATENATE($B$148,".",TEXT(A159,"0000"))</f>
        <v>II-0014.0010</v>
      </c>
      <c r="C159" s="170" t="str">
        <f>CONCATENATE($K$158," ",L159)</f>
        <v>REPARACION AGREGADO PETREO Y SUELO</v>
      </c>
      <c r="D159" s="175" t="s">
        <v>1131</v>
      </c>
      <c r="G159" s="170"/>
      <c r="H159" s="186"/>
      <c r="I159" s="175"/>
      <c r="J159" s="192">
        <v>1</v>
      </c>
      <c r="K159" s="185"/>
      <c r="L159" s="185" t="s">
        <v>1279</v>
      </c>
      <c r="M159" s="170"/>
      <c r="N159" s="170"/>
      <c r="O159" s="222" t="s">
        <v>1131</v>
      </c>
      <c r="P159" s="170"/>
      <c r="Q159" s="184">
        <v>10</v>
      </c>
      <c r="R159" s="177" t="str">
        <f>CONCATENATE($L$148,".",TEXT(Q159,"0000"))</f>
        <v>.0010</v>
      </c>
      <c r="S159" s="170" t="str">
        <f>CONCATENATE($E$158," ",L159)</f>
        <v xml:space="preserve"> AGREGADO PETREO Y SUELO</v>
      </c>
    </row>
    <row r="160" spans="1:19">
      <c r="A160" s="176">
        <v>11</v>
      </c>
      <c r="B160" s="177" t="str">
        <f t="shared" si="25"/>
        <v>II-0014.0011</v>
      </c>
      <c r="C160" s="170" t="str">
        <f t="shared" ref="C160:C163" si="26">CONCATENATE($K$158," ",L160)</f>
        <v>REPARACION SUELO CAL</v>
      </c>
      <c r="D160" s="175" t="s">
        <v>1131</v>
      </c>
      <c r="G160" s="170"/>
      <c r="H160" s="186"/>
      <c r="I160" s="175"/>
      <c r="J160" s="192">
        <v>2</v>
      </c>
      <c r="K160" s="185"/>
      <c r="L160" s="185" t="s">
        <v>1215</v>
      </c>
      <c r="M160" s="170"/>
      <c r="N160" s="170"/>
      <c r="O160" s="222" t="s">
        <v>1131</v>
      </c>
      <c r="P160" s="170"/>
      <c r="Q160" s="184">
        <v>11</v>
      </c>
      <c r="R160" s="177" t="str">
        <f t="shared" ref="R160:R167" si="27">CONCATENATE($L$148,".",TEXT(Q160,"0000"))</f>
        <v>.0011</v>
      </c>
      <c r="S160" s="170" t="str">
        <f t="shared" ref="S160:S163" si="28">CONCATENATE($E$158," ",L160)</f>
        <v xml:space="preserve"> SUELO CAL</v>
      </c>
    </row>
    <row r="161" spans="1:19">
      <c r="A161" s="176">
        <v>12</v>
      </c>
      <c r="B161" s="177" t="str">
        <f t="shared" si="25"/>
        <v>II-0014.0012</v>
      </c>
      <c r="C161" s="170" t="str">
        <f t="shared" si="26"/>
        <v>REPARACION SUELO CEMENTO</v>
      </c>
      <c r="D161" s="175" t="s">
        <v>1131</v>
      </c>
      <c r="G161" s="170"/>
      <c r="H161" s="186"/>
      <c r="I161" s="175"/>
      <c r="J161" s="192">
        <v>3</v>
      </c>
      <c r="K161" s="185"/>
      <c r="L161" s="185" t="s">
        <v>1218</v>
      </c>
      <c r="M161" s="170"/>
      <c r="N161" s="170"/>
      <c r="O161" s="222" t="s">
        <v>1131</v>
      </c>
      <c r="P161" s="170"/>
      <c r="Q161" s="184">
        <v>12</v>
      </c>
      <c r="R161" s="177" t="str">
        <f t="shared" si="27"/>
        <v>.0012</v>
      </c>
      <c r="S161" s="170" t="str">
        <f t="shared" si="28"/>
        <v xml:space="preserve"> SUELO CEMENTO</v>
      </c>
    </row>
    <row r="162" spans="1:19">
      <c r="A162" s="176">
        <v>13</v>
      </c>
      <c r="B162" s="177" t="str">
        <f t="shared" si="25"/>
        <v>II-0014.0013</v>
      </c>
      <c r="C162" s="170" t="str">
        <f t="shared" si="26"/>
        <v>REPARACION SUELO ESCORIA</v>
      </c>
      <c r="D162" s="175" t="s">
        <v>1131</v>
      </c>
      <c r="G162" s="170"/>
      <c r="H162" s="186"/>
      <c r="I162" s="175"/>
      <c r="J162" s="192">
        <v>4</v>
      </c>
      <c r="K162" s="185"/>
      <c r="L162" s="185" t="s">
        <v>1280</v>
      </c>
      <c r="M162" s="170"/>
      <c r="N162" s="170"/>
      <c r="O162" s="222" t="s">
        <v>1131</v>
      </c>
      <c r="P162" s="170"/>
      <c r="Q162" s="184">
        <v>13</v>
      </c>
      <c r="R162" s="177" t="str">
        <f t="shared" si="27"/>
        <v>.0013</v>
      </c>
      <c r="S162" s="170" t="str">
        <f t="shared" si="28"/>
        <v xml:space="preserve"> SUELO ESCORIA</v>
      </c>
    </row>
    <row r="163" spans="1:19">
      <c r="A163" s="176">
        <v>14</v>
      </c>
      <c r="B163" s="177" t="str">
        <f t="shared" si="25"/>
        <v>II-0014.0014</v>
      </c>
      <c r="C163" s="170" t="str">
        <f t="shared" si="26"/>
        <v>REPARACION SUELO SELECCIONADO</v>
      </c>
      <c r="D163" s="175" t="s">
        <v>1131</v>
      </c>
      <c r="G163" s="170"/>
      <c r="H163" s="186"/>
      <c r="I163" s="200"/>
      <c r="J163" s="195">
        <v>5</v>
      </c>
      <c r="K163" s="185"/>
      <c r="L163" s="185" t="s">
        <v>1221</v>
      </c>
      <c r="M163" s="170"/>
      <c r="N163" s="170"/>
      <c r="O163" s="222" t="s">
        <v>1131</v>
      </c>
      <c r="P163" s="170"/>
      <c r="Q163" s="184">
        <v>14</v>
      </c>
      <c r="R163" s="177" t="str">
        <f t="shared" si="27"/>
        <v>.0014</v>
      </c>
      <c r="S163" s="170" t="str">
        <f t="shared" si="28"/>
        <v xml:space="preserve"> SUELO SELECCIONADO</v>
      </c>
    </row>
    <row r="164" spans="1:19">
      <c r="A164" s="176">
        <v>20</v>
      </c>
      <c r="B164" s="177" t="str">
        <f t="shared" si="25"/>
        <v>II-0014.0020</v>
      </c>
      <c r="C164" s="170" t="str">
        <f t="shared" ref="C164:C167" si="29">CONCATENATE(K164)</f>
        <v>SUELO CAL</v>
      </c>
      <c r="D164" s="175" t="s">
        <v>1131</v>
      </c>
      <c r="G164" s="170"/>
      <c r="H164" s="186"/>
      <c r="I164" s="195" t="s">
        <v>1128</v>
      </c>
      <c r="J164" s="228"/>
      <c r="K164" s="245" t="s">
        <v>1215</v>
      </c>
      <c r="L164" s="228"/>
      <c r="M164" s="228"/>
      <c r="N164" s="228"/>
      <c r="O164" s="244" t="s">
        <v>1131</v>
      </c>
      <c r="P164" s="170"/>
      <c r="Q164" s="184">
        <v>20</v>
      </c>
      <c r="R164" s="177" t="str">
        <f t="shared" si="27"/>
        <v>.0020</v>
      </c>
      <c r="S164" s="170" t="str">
        <f>CONCATENATE(K164)</f>
        <v>SUELO CAL</v>
      </c>
    </row>
    <row r="165" spans="1:19">
      <c r="A165" s="176">
        <v>21</v>
      </c>
      <c r="B165" s="177" t="str">
        <f t="shared" si="25"/>
        <v>II-0014.0021</v>
      </c>
      <c r="C165" s="170" t="str">
        <f t="shared" si="29"/>
        <v>SUELO CEMENTO</v>
      </c>
      <c r="D165" s="175" t="s">
        <v>1131</v>
      </c>
      <c r="G165" s="170"/>
      <c r="H165" s="186"/>
      <c r="I165" s="192" t="s">
        <v>1132</v>
      </c>
      <c r="J165" s="170"/>
      <c r="K165" s="185" t="s">
        <v>1218</v>
      </c>
      <c r="L165" s="170"/>
      <c r="M165" s="170"/>
      <c r="N165" s="170"/>
      <c r="O165" s="222" t="s">
        <v>1131</v>
      </c>
      <c r="P165" s="170"/>
      <c r="Q165" s="184">
        <v>21</v>
      </c>
      <c r="R165" s="177" t="str">
        <f t="shared" si="27"/>
        <v>.0021</v>
      </c>
      <c r="S165" s="170" t="str">
        <f t="shared" ref="S165:S167" si="30">CONCATENATE(K165)</f>
        <v>SUELO CEMENTO</v>
      </c>
    </row>
    <row r="166" spans="1:19">
      <c r="A166" s="176">
        <v>22</v>
      </c>
      <c r="B166" s="177" t="str">
        <f t="shared" si="25"/>
        <v>II-0014.0022</v>
      </c>
      <c r="C166" s="170" t="str">
        <f t="shared" si="29"/>
        <v>SUELO ESCORIA</v>
      </c>
      <c r="D166" s="175" t="s">
        <v>1131</v>
      </c>
      <c r="G166" s="170"/>
      <c r="H166" s="186"/>
      <c r="I166" s="187" t="s">
        <v>1135</v>
      </c>
      <c r="J166" s="228"/>
      <c r="K166" s="245" t="s">
        <v>1280</v>
      </c>
      <c r="L166" s="228"/>
      <c r="M166" s="228"/>
      <c r="N166" s="228"/>
      <c r="O166" s="244" t="s">
        <v>1131</v>
      </c>
      <c r="P166" s="170"/>
      <c r="Q166" s="184">
        <v>22</v>
      </c>
      <c r="R166" s="177" t="str">
        <f t="shared" si="27"/>
        <v>.0022</v>
      </c>
      <c r="S166" s="170" t="str">
        <f t="shared" si="30"/>
        <v>SUELO ESCORIA</v>
      </c>
    </row>
    <row r="167" spans="1:19">
      <c r="A167" s="176">
        <v>23</v>
      </c>
      <c r="B167" s="177" t="str">
        <f t="shared" si="25"/>
        <v>II-0014.0023</v>
      </c>
      <c r="C167" s="170" t="str">
        <f t="shared" si="29"/>
        <v>SUELO SELECCIONADO</v>
      </c>
      <c r="D167" s="175" t="s">
        <v>1131</v>
      </c>
      <c r="G167" s="170"/>
      <c r="H167" s="186"/>
      <c r="I167" s="192" t="s">
        <v>888</v>
      </c>
      <c r="J167" s="170"/>
      <c r="K167" s="185" t="s">
        <v>1221</v>
      </c>
      <c r="L167" s="170"/>
      <c r="M167" s="170"/>
      <c r="N167" s="170"/>
      <c r="O167" s="222" t="s">
        <v>1131</v>
      </c>
      <c r="P167" s="170"/>
      <c r="Q167" s="184">
        <v>23</v>
      </c>
      <c r="R167" s="177" t="str">
        <f t="shared" si="27"/>
        <v>.0023</v>
      </c>
      <c r="S167" s="170" t="str">
        <f t="shared" si="30"/>
        <v>SUELO SELECCIONADO</v>
      </c>
    </row>
    <row r="168" spans="1:19" ht="15.75" thickBot="1">
      <c r="A168" s="176"/>
      <c r="B168" s="177"/>
      <c r="C168" s="78"/>
      <c r="D168" s="175"/>
      <c r="G168" s="170"/>
      <c r="H168" s="186"/>
      <c r="I168" s="175"/>
      <c r="J168" s="170"/>
      <c r="K168" s="185"/>
      <c r="L168" s="170"/>
      <c r="M168" s="170"/>
      <c r="N168" s="170"/>
      <c r="O168" s="222"/>
      <c r="P168" s="170"/>
      <c r="Q168" s="184"/>
      <c r="R168" s="177"/>
      <c r="S168" s="170"/>
    </row>
    <row r="169" spans="1:19" ht="15.75" thickTop="1">
      <c r="A169" s="176">
        <v>15</v>
      </c>
      <c r="B169" s="177" t="s">
        <v>1281</v>
      </c>
      <c r="C169" s="78" t="s">
        <v>1282</v>
      </c>
      <c r="D169" s="175"/>
      <c r="G169" s="170"/>
      <c r="H169" s="253">
        <v>15</v>
      </c>
      <c r="I169" s="209"/>
      <c r="J169" s="258"/>
      <c r="K169" s="259" t="s">
        <v>1282</v>
      </c>
      <c r="L169" s="258"/>
      <c r="M169" s="258"/>
      <c r="N169" s="258"/>
      <c r="O169" s="211"/>
      <c r="P169" s="170"/>
      <c r="Q169" s="184">
        <f>H169</f>
        <v>15</v>
      </c>
      <c r="R169" s="175" t="str">
        <f>CONCATENATE("II-",TEXT(Q169,"0000"))</f>
        <v>II-0015</v>
      </c>
      <c r="S169" s="185" t="str">
        <f>K169</f>
        <v>CALZADA</v>
      </c>
    </row>
    <row r="170" spans="1:19">
      <c r="A170" s="176"/>
      <c r="B170" s="177"/>
      <c r="C170" s="78"/>
      <c r="D170" s="175"/>
      <c r="G170" s="170"/>
      <c r="H170" s="186"/>
      <c r="I170" s="187" t="s">
        <v>1020</v>
      </c>
      <c r="J170" s="170"/>
      <c r="K170" s="185" t="s">
        <v>1283</v>
      </c>
      <c r="L170" s="190"/>
      <c r="M170" s="190"/>
      <c r="N170" s="190"/>
      <c r="O170" s="231"/>
      <c r="P170" s="170"/>
      <c r="Q170" s="184"/>
      <c r="R170" s="170"/>
      <c r="S170" s="170"/>
    </row>
    <row r="171" spans="1:19">
      <c r="A171" s="176">
        <v>1</v>
      </c>
      <c r="B171" s="177" t="str">
        <f>CONCATENATE($B$169,".",TEXT(A171,"0000"))</f>
        <v>II-0015.0001</v>
      </c>
      <c r="C171" s="170" t="str">
        <f>CONCATENATE($K$170," ",L171)</f>
        <v>CORRECCION DE AHUELLAMIENTO AGREGADO PETREO Y SUELO</v>
      </c>
      <c r="D171" s="175" t="s">
        <v>1214</v>
      </c>
      <c r="G171" s="170"/>
      <c r="H171" s="186"/>
      <c r="I171" s="175"/>
      <c r="J171" s="192">
        <v>1</v>
      </c>
      <c r="K171" s="170"/>
      <c r="L171" s="185" t="s">
        <v>1279</v>
      </c>
      <c r="M171" s="170"/>
      <c r="N171" s="170"/>
      <c r="O171" s="222" t="s">
        <v>1214</v>
      </c>
      <c r="P171" s="170"/>
      <c r="Q171" s="184"/>
      <c r="R171" s="170"/>
      <c r="S171" s="170"/>
    </row>
    <row r="172" spans="1:19">
      <c r="A172" s="176">
        <v>2</v>
      </c>
      <c r="B172" s="177" t="str">
        <f t="shared" ref="B172:B181" si="31">CONCATENATE($B$169,".",TEXT(A172,"0000"))</f>
        <v>II-0015.0002</v>
      </c>
      <c r="C172" s="170" t="str">
        <f t="shared" ref="C172:C175" si="32">CONCATENATE($K$170," ",L172)</f>
        <v>CORRECCION DE AHUELLAMIENTO FRESADO</v>
      </c>
      <c r="D172" s="175" t="s">
        <v>1214</v>
      </c>
      <c r="G172" s="170"/>
      <c r="H172" s="186"/>
      <c r="I172" s="175"/>
      <c r="J172" s="192">
        <v>2</v>
      </c>
      <c r="K172" s="185"/>
      <c r="L172" s="185" t="s">
        <v>1284</v>
      </c>
      <c r="M172" s="170"/>
      <c r="N172" s="170"/>
      <c r="O172" s="222" t="s">
        <v>1214</v>
      </c>
      <c r="P172" s="170"/>
      <c r="Q172" s="184"/>
      <c r="R172" s="170"/>
      <c r="S172" s="170"/>
    </row>
    <row r="173" spans="1:19">
      <c r="A173" s="176">
        <v>3</v>
      </c>
      <c r="B173" s="177" t="str">
        <f t="shared" si="31"/>
        <v>II-0015.0003</v>
      </c>
      <c r="C173" s="170" t="str">
        <f t="shared" si="32"/>
        <v>CORRECCION DE AHUELLAMIENTO MEZCLA ASFALTICA</v>
      </c>
      <c r="D173" s="175" t="s">
        <v>1214</v>
      </c>
      <c r="G173" s="170"/>
      <c r="H173" s="186"/>
      <c r="I173" s="175"/>
      <c r="J173" s="192">
        <v>3</v>
      </c>
      <c r="K173" s="185"/>
      <c r="L173" s="185" t="s">
        <v>1211</v>
      </c>
      <c r="M173" s="170"/>
      <c r="N173" s="170"/>
      <c r="O173" s="222" t="s">
        <v>1214</v>
      </c>
      <c r="P173" s="170"/>
      <c r="Q173" s="170"/>
      <c r="R173" s="170"/>
      <c r="S173" s="170"/>
    </row>
    <row r="174" spans="1:19">
      <c r="A174" s="176">
        <v>4</v>
      </c>
      <c r="B174" s="177" t="str">
        <f t="shared" si="31"/>
        <v>II-0015.0004</v>
      </c>
      <c r="C174" s="170" t="str">
        <f t="shared" si="32"/>
        <v>CORRECCION DE AHUELLAMIENTO MICROAGLOMERADO</v>
      </c>
      <c r="D174" s="175" t="s">
        <v>1214</v>
      </c>
      <c r="G174" s="170"/>
      <c r="H174" s="186"/>
      <c r="I174" s="175"/>
      <c r="J174" s="192">
        <v>4</v>
      </c>
      <c r="K174" s="185"/>
      <c r="L174" s="185" t="s">
        <v>1285</v>
      </c>
      <c r="M174" s="170"/>
      <c r="N174" s="170"/>
      <c r="O174" s="222" t="s">
        <v>1214</v>
      </c>
      <c r="P174" s="170"/>
      <c r="Q174" s="170"/>
      <c r="R174" s="170"/>
      <c r="S174" s="170"/>
    </row>
    <row r="175" spans="1:19">
      <c r="A175" s="176">
        <v>5</v>
      </c>
      <c r="B175" s="177" t="str">
        <f t="shared" si="31"/>
        <v>II-0015.0005</v>
      </c>
      <c r="C175" s="170" t="str">
        <f t="shared" si="32"/>
        <v>CORRECCION DE AHUELLAMIENTO SUELO CEMENTO</v>
      </c>
      <c r="D175" s="175" t="s">
        <v>1214</v>
      </c>
      <c r="G175" s="170"/>
      <c r="H175" s="186"/>
      <c r="I175" s="200"/>
      <c r="J175" s="195">
        <v>5</v>
      </c>
      <c r="K175" s="197"/>
      <c r="L175" s="197" t="s">
        <v>1218</v>
      </c>
      <c r="M175" s="196"/>
      <c r="N175" s="196"/>
      <c r="O175" s="240" t="s">
        <v>1214</v>
      </c>
      <c r="P175" s="170"/>
      <c r="Q175" s="170"/>
      <c r="R175" s="170"/>
      <c r="S175" s="170"/>
    </row>
    <row r="176" spans="1:19">
      <c r="A176" s="176"/>
      <c r="B176" s="177"/>
      <c r="C176" s="78"/>
      <c r="D176" s="175"/>
      <c r="G176" s="170"/>
      <c r="H176" s="186"/>
      <c r="I176" s="187" t="s">
        <v>1047</v>
      </c>
      <c r="J176" s="175"/>
      <c r="K176" s="185" t="s">
        <v>1286</v>
      </c>
      <c r="L176" s="185"/>
      <c r="M176" s="170"/>
      <c r="N176" s="170"/>
      <c r="O176" s="222"/>
      <c r="P176" s="170"/>
      <c r="Q176" s="170"/>
      <c r="R176" s="170"/>
      <c r="S176" s="170"/>
    </row>
    <row r="177" spans="1:19">
      <c r="A177" s="176">
        <v>11</v>
      </c>
      <c r="B177" s="177" t="str">
        <f t="shared" si="31"/>
        <v>II-0015.0011</v>
      </c>
      <c r="C177" s="170" t="str">
        <f>CONCATENATE($K$176," ",L177)</f>
        <v>CORRECCION DE DEPRESIONES Y DEFORMACIONES AGREGADO PETREO Y SUELO</v>
      </c>
      <c r="D177" s="175" t="s">
        <v>1131</v>
      </c>
      <c r="G177" s="170"/>
      <c r="H177" s="186"/>
      <c r="I177" s="175"/>
      <c r="J177" s="192">
        <v>1</v>
      </c>
      <c r="K177" s="185"/>
      <c r="L177" s="185" t="s">
        <v>1279</v>
      </c>
      <c r="M177" s="170"/>
      <c r="N177" s="170"/>
      <c r="O177" s="222" t="s">
        <v>1131</v>
      </c>
      <c r="P177" s="170"/>
      <c r="Q177" s="170"/>
      <c r="R177" s="170"/>
      <c r="S177" s="170"/>
    </row>
    <row r="178" spans="1:19">
      <c r="A178" s="176">
        <v>12</v>
      </c>
      <c r="B178" s="177" t="str">
        <f t="shared" si="31"/>
        <v>II-0015.0012</v>
      </c>
      <c r="C178" s="170" t="str">
        <f t="shared" ref="C178:C181" si="33">CONCATENATE($K$176," ",L178)</f>
        <v>CORRECCION DE DEPRESIONES Y DEFORMACIONES SUELO CAL</v>
      </c>
      <c r="D178" s="175" t="s">
        <v>1131</v>
      </c>
      <c r="G178" s="170"/>
      <c r="H178" s="186"/>
      <c r="I178" s="175"/>
      <c r="J178" s="192">
        <v>2</v>
      </c>
      <c r="K178" s="185"/>
      <c r="L178" s="185" t="s">
        <v>1215</v>
      </c>
      <c r="M178" s="170"/>
      <c r="N178" s="170"/>
      <c r="O178" s="222" t="s">
        <v>1131</v>
      </c>
      <c r="P178" s="170"/>
      <c r="Q178" s="170"/>
      <c r="R178" s="170"/>
      <c r="S178" s="170"/>
    </row>
    <row r="179" spans="1:19">
      <c r="A179" s="176">
        <v>13</v>
      </c>
      <c r="B179" s="177" t="str">
        <f t="shared" si="31"/>
        <v>II-0015.0013</v>
      </c>
      <c r="C179" s="170" t="str">
        <f t="shared" si="33"/>
        <v>CORRECCION DE DEPRESIONES Y DEFORMACIONES SUELO CEMENTO</v>
      </c>
      <c r="D179" s="175" t="s">
        <v>1131</v>
      </c>
      <c r="G179" s="170"/>
      <c r="H179" s="186"/>
      <c r="I179" s="175"/>
      <c r="J179" s="192">
        <v>3</v>
      </c>
      <c r="K179" s="185"/>
      <c r="L179" s="185" t="s">
        <v>1218</v>
      </c>
      <c r="M179" s="170"/>
      <c r="N179" s="170"/>
      <c r="O179" s="222" t="s">
        <v>1131</v>
      </c>
      <c r="P179" s="170"/>
      <c r="Q179" s="170"/>
      <c r="R179" s="170"/>
      <c r="S179" s="170"/>
    </row>
    <row r="180" spans="1:19">
      <c r="A180" s="176">
        <v>14</v>
      </c>
      <c r="B180" s="177" t="str">
        <f t="shared" si="31"/>
        <v>II-0015.0014</v>
      </c>
      <c r="C180" s="170" t="str">
        <f t="shared" si="33"/>
        <v>CORRECCION DE DEPRESIONES Y DEFORMACIONES SUELO ESCORIA</v>
      </c>
      <c r="D180" s="175" t="s">
        <v>1131</v>
      </c>
      <c r="G180" s="170"/>
      <c r="H180" s="186"/>
      <c r="I180" s="175"/>
      <c r="J180" s="192">
        <v>4</v>
      </c>
      <c r="K180" s="185"/>
      <c r="L180" s="185" t="s">
        <v>1280</v>
      </c>
      <c r="M180" s="170"/>
      <c r="N180" s="170"/>
      <c r="O180" s="222" t="s">
        <v>1131</v>
      </c>
      <c r="P180" s="170"/>
      <c r="Q180" s="170"/>
      <c r="R180" s="170"/>
      <c r="S180" s="170"/>
    </row>
    <row r="181" spans="1:19">
      <c r="A181" s="176">
        <v>15</v>
      </c>
      <c r="B181" s="177" t="str">
        <f t="shared" si="31"/>
        <v>II-0015.0015</v>
      </c>
      <c r="C181" s="170" t="str">
        <f t="shared" si="33"/>
        <v>CORRECCION DE DEPRESIONES Y DEFORMACIONES SUELO SELECCIONADO</v>
      </c>
      <c r="D181" s="175" t="s">
        <v>1131</v>
      </c>
      <c r="G181" s="170"/>
      <c r="H181" s="186"/>
      <c r="I181" s="200"/>
      <c r="J181" s="195">
        <v>5</v>
      </c>
      <c r="K181" s="197"/>
      <c r="L181" s="197" t="s">
        <v>1221</v>
      </c>
      <c r="M181" s="196"/>
      <c r="N181" s="196"/>
      <c r="O181" s="240" t="s">
        <v>1131</v>
      </c>
      <c r="P181" s="170"/>
      <c r="Q181" s="170"/>
      <c r="R181" s="170"/>
      <c r="S181" s="170"/>
    </row>
    <row r="182" spans="1:19" ht="15.75" thickBot="1">
      <c r="A182" s="176"/>
      <c r="B182" s="169"/>
      <c r="C182" s="194"/>
      <c r="D182" s="175" t="s">
        <v>996</v>
      </c>
      <c r="G182" s="170"/>
      <c r="H182" s="201"/>
      <c r="I182" s="213" t="s">
        <v>1083</v>
      </c>
      <c r="J182" s="202"/>
      <c r="K182" s="205" t="s">
        <v>1287</v>
      </c>
      <c r="L182" s="205"/>
      <c r="M182" s="204"/>
      <c r="N182" s="204"/>
      <c r="O182" s="266" t="s">
        <v>996</v>
      </c>
      <c r="P182" s="170"/>
      <c r="Q182" s="170"/>
      <c r="R182" s="170"/>
      <c r="S182" s="170"/>
    </row>
    <row r="183" spans="1:19" ht="15.75" thickTop="1">
      <c r="A183" s="176">
        <v>16</v>
      </c>
      <c r="B183" s="177" t="s">
        <v>1288</v>
      </c>
      <c r="C183" s="78" t="s">
        <v>1289</v>
      </c>
      <c r="D183" s="175"/>
      <c r="G183" s="170"/>
      <c r="H183" s="208">
        <v>16</v>
      </c>
      <c r="I183" s="210"/>
      <c r="J183" s="220"/>
      <c r="K183" s="265" t="s">
        <v>1289</v>
      </c>
      <c r="L183" s="220"/>
      <c r="M183" s="220"/>
      <c r="N183" s="220"/>
      <c r="O183" s="230"/>
      <c r="P183" s="170"/>
      <c r="Q183" s="184">
        <f>H183</f>
        <v>16</v>
      </c>
      <c r="R183" s="175" t="str">
        <f>CONCATENATE("II-",TEXT(Q183,"0000"))</f>
        <v>II-0016</v>
      </c>
      <c r="S183" s="185" t="str">
        <f>K183</f>
        <v>CAMARA DE INSPECCION</v>
      </c>
    </row>
    <row r="184" spans="1:19" ht="15.75" thickBot="1">
      <c r="A184" s="176">
        <v>1</v>
      </c>
      <c r="B184" s="177" t="str">
        <f>CONCATENATE($B$183,".",TEXT(A184,"0000"))</f>
        <v>II-0016.0001</v>
      </c>
      <c r="C184" s="170" t="str">
        <f>CONCATENATE("S/PLANO ",K184)</f>
        <v>S/PLANO H-2465</v>
      </c>
      <c r="D184" s="175" t="s">
        <v>4</v>
      </c>
      <c r="G184" s="170"/>
      <c r="H184" s="212"/>
      <c r="I184" s="213" t="s">
        <v>1020</v>
      </c>
      <c r="J184" s="216"/>
      <c r="K184" s="247" t="s">
        <v>1290</v>
      </c>
      <c r="L184" s="216"/>
      <c r="M184" s="216"/>
      <c r="N184" s="216"/>
      <c r="O184" s="248" t="s">
        <v>4</v>
      </c>
      <c r="P184" s="170"/>
      <c r="Q184" s="170"/>
      <c r="R184" s="170"/>
      <c r="S184" s="170"/>
    </row>
    <row r="185" spans="1:19" ht="15.75" thickTop="1">
      <c r="A185" s="176">
        <v>17</v>
      </c>
      <c r="B185" s="177" t="s">
        <v>1291</v>
      </c>
      <c r="C185" s="78" t="s">
        <v>1292</v>
      </c>
      <c r="D185" s="175"/>
      <c r="G185" s="170"/>
      <c r="H185" s="208">
        <v>17</v>
      </c>
      <c r="I185" s="210"/>
      <c r="J185" s="220"/>
      <c r="K185" s="265" t="s">
        <v>1292</v>
      </c>
      <c r="L185" s="220"/>
      <c r="M185" s="220"/>
      <c r="N185" s="220"/>
      <c r="O185" s="230"/>
      <c r="P185" s="170"/>
      <c r="Q185" s="184">
        <f>H185</f>
        <v>17</v>
      </c>
      <c r="R185" s="175" t="str">
        <f>CONCATENATE("II-",TEXT(Q185,"0000"))</f>
        <v>II-0017</v>
      </c>
      <c r="S185" s="185" t="str">
        <f>K185</f>
        <v>CARPETA</v>
      </c>
    </row>
    <row r="186" spans="1:19">
      <c r="A186" s="176"/>
      <c r="B186" s="177"/>
      <c r="C186" s="78"/>
      <c r="D186" s="175"/>
      <c r="G186" s="170"/>
      <c r="H186" s="186"/>
      <c r="I186" s="187" t="s">
        <v>1020</v>
      </c>
      <c r="J186" s="175"/>
      <c r="K186" s="185" t="s">
        <v>1293</v>
      </c>
      <c r="L186" s="185"/>
      <c r="M186" s="170"/>
      <c r="N186" s="170"/>
      <c r="O186" s="222"/>
      <c r="P186" s="170"/>
      <c r="Q186" s="170"/>
      <c r="R186" s="170"/>
      <c r="S186" s="170"/>
    </row>
    <row r="187" spans="1:19">
      <c r="A187" s="176">
        <v>1</v>
      </c>
      <c r="B187" s="177" t="str">
        <f>CONCATENATE($B$185,".",TEXT(A187,"0000"))</f>
        <v>II-0017.0001</v>
      </c>
      <c r="C187" s="170" t="str">
        <f>CONCATENATE($K$186," ",L187)</f>
        <v>MEZCLA BITUMINOSA DE CONCRETO ASFALTICO MEZCLA EN CALIENTE</v>
      </c>
      <c r="D187" s="175" t="s">
        <v>1214</v>
      </c>
      <c r="G187" s="170"/>
      <c r="H187" s="186"/>
      <c r="I187" s="175"/>
      <c r="J187" s="192">
        <v>1</v>
      </c>
      <c r="K187" s="185"/>
      <c r="L187" s="185" t="s">
        <v>1294</v>
      </c>
      <c r="M187" s="170"/>
      <c r="N187" s="170"/>
      <c r="O187" s="222" t="s">
        <v>1214</v>
      </c>
      <c r="P187" s="170"/>
      <c r="Q187" s="170"/>
      <c r="R187" s="170"/>
      <c r="S187" s="170"/>
    </row>
    <row r="188" spans="1:19">
      <c r="A188" s="176">
        <v>2</v>
      </c>
      <c r="B188" s="177" t="str">
        <f t="shared" ref="B188:B192" si="34">CONCATENATE($B$185,".",TEXT(A188,"0000"))</f>
        <v>II-0017.0002</v>
      </c>
      <c r="C188" s="170" t="str">
        <f>CONCATENATE($K$186," ",L188)</f>
        <v>MEZCLA BITUMINOSA DE CONCRETO ASFALTICO MEZCLA EN FRIO</v>
      </c>
      <c r="D188" s="175" t="s">
        <v>1214</v>
      </c>
      <c r="G188" s="170"/>
      <c r="H188" s="186"/>
      <c r="I188" s="175"/>
      <c r="J188" s="195">
        <v>2</v>
      </c>
      <c r="K188" s="197"/>
      <c r="L188" s="197" t="s">
        <v>1295</v>
      </c>
      <c r="M188" s="196"/>
      <c r="N188" s="196"/>
      <c r="O188" s="240" t="s">
        <v>1214</v>
      </c>
      <c r="P188" s="170"/>
      <c r="Q188" s="170"/>
      <c r="R188" s="170"/>
      <c r="S188" s="170"/>
    </row>
    <row r="189" spans="1:19">
      <c r="A189" s="176"/>
      <c r="B189" s="177"/>
      <c r="C189" s="78"/>
      <c r="D189" s="175"/>
      <c r="G189" s="170"/>
      <c r="H189" s="186"/>
      <c r="I189" s="187" t="s">
        <v>1047</v>
      </c>
      <c r="J189" s="175"/>
      <c r="K189" s="185" t="s">
        <v>1296</v>
      </c>
      <c r="L189" s="185"/>
      <c r="M189" s="170"/>
      <c r="N189" s="170"/>
      <c r="O189" s="222"/>
      <c r="P189" s="170"/>
      <c r="Q189" s="170"/>
      <c r="R189" s="170"/>
      <c r="S189" s="170"/>
    </row>
    <row r="190" spans="1:19">
      <c r="A190" s="176">
        <v>11</v>
      </c>
      <c r="B190" s="177" t="str">
        <f t="shared" si="34"/>
        <v>II-0017.0011</v>
      </c>
      <c r="C190" s="170" t="str">
        <f>CONCATENATE($K$189," ",L190)</f>
        <v>CARPETA DE BAJO ESPESOR MEZCLA EN CALIENTE</v>
      </c>
      <c r="D190" s="175" t="s">
        <v>1214</v>
      </c>
      <c r="G190" s="170"/>
      <c r="H190" s="186"/>
      <c r="I190" s="175"/>
      <c r="J190" s="192">
        <v>1</v>
      </c>
      <c r="K190" s="185"/>
      <c r="L190" s="185" t="s">
        <v>1294</v>
      </c>
      <c r="M190" s="170"/>
      <c r="N190" s="170"/>
      <c r="O190" s="222" t="s">
        <v>1214</v>
      </c>
      <c r="P190" s="170"/>
      <c r="Q190" s="170"/>
      <c r="R190" s="170"/>
      <c r="S190" s="170"/>
    </row>
    <row r="191" spans="1:19">
      <c r="A191" s="176">
        <v>12</v>
      </c>
      <c r="B191" s="177" t="str">
        <f t="shared" si="34"/>
        <v>II-0017.0012</v>
      </c>
      <c r="C191" s="170" t="str">
        <f t="shared" ref="C191:C192" si="35">CONCATENATE($K$189," ",L191)</f>
        <v>CARPETA DE BAJO ESPESOR MEZCLA EN FRIO</v>
      </c>
      <c r="D191" s="175" t="s">
        <v>1214</v>
      </c>
      <c r="G191" s="170"/>
      <c r="H191" s="186"/>
      <c r="I191" s="175"/>
      <c r="J191" s="192">
        <v>2</v>
      </c>
      <c r="K191" s="185"/>
      <c r="L191" s="185" t="s">
        <v>1295</v>
      </c>
      <c r="M191" s="170"/>
      <c r="N191" s="170"/>
      <c r="O191" s="222" t="s">
        <v>1214</v>
      </c>
      <c r="P191" s="170"/>
      <c r="Q191" s="170"/>
      <c r="R191" s="170"/>
      <c r="S191" s="170"/>
    </row>
    <row r="192" spans="1:19" ht="15.75" thickBot="1">
      <c r="A192" s="176">
        <v>13</v>
      </c>
      <c r="B192" s="177" t="str">
        <f t="shared" si="34"/>
        <v>II-0017.0013</v>
      </c>
      <c r="C192" s="170" t="str">
        <f t="shared" si="35"/>
        <v>CARPETA DE BAJO ESPESOR MICROAGLOMERADO</v>
      </c>
      <c r="D192" s="175" t="s">
        <v>1214</v>
      </c>
      <c r="G192" s="170"/>
      <c r="H192" s="186"/>
      <c r="I192" s="175"/>
      <c r="J192" s="192">
        <v>3</v>
      </c>
      <c r="K192" s="185"/>
      <c r="L192" s="185" t="s">
        <v>1285</v>
      </c>
      <c r="M192" s="170"/>
      <c r="N192" s="170"/>
      <c r="O192" s="222" t="s">
        <v>1214</v>
      </c>
      <c r="P192" s="170"/>
      <c r="Q192" s="170"/>
      <c r="R192" s="170"/>
      <c r="S192" s="170"/>
    </row>
    <row r="193" spans="1:19" ht="15.75" thickTop="1">
      <c r="A193" s="176">
        <v>18</v>
      </c>
      <c r="B193" s="177" t="s">
        <v>1297</v>
      </c>
      <c r="C193" s="78" t="s">
        <v>1298</v>
      </c>
      <c r="D193" s="175"/>
      <c r="G193" s="170"/>
      <c r="H193" s="253">
        <v>18</v>
      </c>
      <c r="I193" s="209"/>
      <c r="J193" s="258"/>
      <c r="K193" s="259" t="s">
        <v>1298</v>
      </c>
      <c r="L193" s="258"/>
      <c r="M193" s="258"/>
      <c r="N193" s="258"/>
      <c r="O193" s="211"/>
      <c r="P193" s="170"/>
      <c r="Q193" s="184">
        <f>H193</f>
        <v>18</v>
      </c>
      <c r="R193" s="175" t="str">
        <f>CONCATENATE("II-",TEXT(Q193,"0000"))</f>
        <v>II-0018</v>
      </c>
      <c r="S193" s="185" t="str">
        <f>K193</f>
        <v>COLCHONETA ( PIEDRA EMBOLSADA)</v>
      </c>
    </row>
    <row r="194" spans="1:19">
      <c r="A194" s="176">
        <v>1</v>
      </c>
      <c r="B194" s="177" t="str">
        <f>CONCATENATE($B$193,".",TEXT(A194,"0000"))</f>
        <v>II-0018.0001</v>
      </c>
      <c r="C194" s="170" t="str">
        <f>CONCATENATE(K194," ",L194)</f>
        <v xml:space="preserve">ELECTROSOLDADA </v>
      </c>
      <c r="D194" s="175" t="s">
        <v>1131</v>
      </c>
      <c r="G194" s="170"/>
      <c r="H194" s="273"/>
      <c r="I194" s="187" t="s">
        <v>1020</v>
      </c>
      <c r="J194" s="228"/>
      <c r="K194" s="245" t="s">
        <v>1299</v>
      </c>
      <c r="L194" s="228"/>
      <c r="M194" s="228"/>
      <c r="N194" s="228"/>
      <c r="O194" s="244" t="s">
        <v>1131</v>
      </c>
      <c r="P194" s="170"/>
      <c r="Q194" s="170"/>
      <c r="R194" s="170"/>
      <c r="S194" s="170"/>
    </row>
    <row r="195" spans="1:19">
      <c r="A195" s="176">
        <v>2</v>
      </c>
      <c r="B195" s="177" t="str">
        <f t="shared" ref="B195:B197" si="36">CONCATENATE($B$193,".",TEXT(A195,"0000"))</f>
        <v>II-0018.0002</v>
      </c>
      <c r="C195" s="170" t="str">
        <f t="shared" ref="C195:C197" si="37">CONCATENATE(K195," ",L195)</f>
        <v xml:space="preserve">MALLA HEXAGONAL </v>
      </c>
      <c r="D195" s="175" t="s">
        <v>1131</v>
      </c>
      <c r="G195" s="170"/>
      <c r="H195" s="241"/>
      <c r="I195" s="187" t="s">
        <v>1047</v>
      </c>
      <c r="J195" s="228"/>
      <c r="K195" s="245" t="s">
        <v>1300</v>
      </c>
      <c r="L195" s="228"/>
      <c r="M195" s="228"/>
      <c r="N195" s="228"/>
      <c r="O195" s="244" t="s">
        <v>1131</v>
      </c>
      <c r="P195" s="170"/>
      <c r="Q195" s="170"/>
      <c r="R195" s="170"/>
      <c r="S195" s="170"/>
    </row>
    <row r="196" spans="1:19">
      <c r="A196" s="176">
        <v>3</v>
      </c>
      <c r="B196" s="177" t="str">
        <f t="shared" si="36"/>
        <v>II-0018.0003</v>
      </c>
      <c r="C196" s="170" t="str">
        <f t="shared" si="37"/>
        <v xml:space="preserve">REPARACION </v>
      </c>
      <c r="D196" s="175" t="s">
        <v>1131</v>
      </c>
      <c r="G196" s="170"/>
      <c r="H196" s="241"/>
      <c r="I196" s="187" t="s">
        <v>1057</v>
      </c>
      <c r="J196" s="228"/>
      <c r="K196" s="245" t="s">
        <v>1134</v>
      </c>
      <c r="L196" s="228"/>
      <c r="M196" s="228"/>
      <c r="N196" s="228"/>
      <c r="O196" s="244" t="s">
        <v>1131</v>
      </c>
      <c r="P196" s="170"/>
      <c r="Q196" s="170"/>
      <c r="R196" s="170"/>
      <c r="S196" s="170"/>
    </row>
    <row r="197" spans="1:19">
      <c r="A197" s="176">
        <v>4</v>
      </c>
      <c r="B197" s="177" t="str">
        <f t="shared" si="36"/>
        <v>II-0018.0004</v>
      </c>
      <c r="C197" s="170" t="str">
        <f t="shared" si="37"/>
        <v xml:space="preserve">RETIRO  </v>
      </c>
      <c r="D197" s="175" t="s">
        <v>1131</v>
      </c>
      <c r="G197" s="170"/>
      <c r="H197" s="241"/>
      <c r="I197" s="187" t="s">
        <v>1083</v>
      </c>
      <c r="J197" s="228"/>
      <c r="K197" s="245" t="s">
        <v>1139</v>
      </c>
      <c r="L197" s="228"/>
      <c r="M197" s="228"/>
      <c r="N197" s="228"/>
      <c r="O197" s="244" t="s">
        <v>1131</v>
      </c>
      <c r="P197" s="170"/>
      <c r="Q197" s="170"/>
      <c r="R197" s="170"/>
      <c r="S197" s="170"/>
    </row>
    <row r="198" spans="1:19" ht="15.75" thickBot="1">
      <c r="A198" s="176"/>
      <c r="B198" s="177"/>
      <c r="C198" s="78"/>
      <c r="D198" s="175" t="s">
        <v>1131</v>
      </c>
      <c r="G198" s="170"/>
      <c r="H198" s="246"/>
      <c r="I198" s="213" t="s">
        <v>1125</v>
      </c>
      <c r="J198" s="216"/>
      <c r="K198" s="247" t="s">
        <v>1257</v>
      </c>
      <c r="L198" s="216"/>
      <c r="M198" s="216"/>
      <c r="N198" s="216"/>
      <c r="O198" s="248" t="s">
        <v>1131</v>
      </c>
      <c r="P198" s="170"/>
      <c r="Q198" s="170"/>
      <c r="R198" s="170"/>
      <c r="S198" s="170"/>
    </row>
    <row r="199" spans="1:19" ht="15.75" thickTop="1">
      <c r="A199" s="176">
        <v>19</v>
      </c>
      <c r="B199" s="177" t="s">
        <v>1301</v>
      </c>
      <c r="C199" s="78" t="s">
        <v>1302</v>
      </c>
      <c r="D199" s="175"/>
      <c r="G199" s="170"/>
      <c r="H199" s="208">
        <v>19</v>
      </c>
      <c r="I199" s="210"/>
      <c r="J199" s="220"/>
      <c r="K199" s="265" t="s">
        <v>1302</v>
      </c>
      <c r="L199" s="220"/>
      <c r="M199" s="220"/>
      <c r="N199" s="220"/>
      <c r="O199" s="230"/>
      <c r="P199" s="170"/>
      <c r="Q199" s="184">
        <f>H199</f>
        <v>19</v>
      </c>
      <c r="R199" s="175" t="str">
        <f>CONCATENATE("II-",TEXT(Q199,"0000"))</f>
        <v>II-0019</v>
      </c>
      <c r="S199" s="185" t="str">
        <f>K199</f>
        <v>CORDONES</v>
      </c>
    </row>
    <row r="200" spans="1:19">
      <c r="A200" s="176"/>
      <c r="B200" s="177"/>
      <c r="C200" s="78"/>
      <c r="D200" s="175"/>
      <c r="G200" s="170"/>
      <c r="H200" s="221"/>
      <c r="I200" s="187" t="s">
        <v>1020</v>
      </c>
      <c r="J200" s="175"/>
      <c r="K200" s="185" t="s">
        <v>1303</v>
      </c>
      <c r="L200" s="170"/>
      <c r="M200" s="170"/>
      <c r="N200" s="170"/>
      <c r="O200" s="222"/>
      <c r="P200" s="170"/>
      <c r="Q200" s="170"/>
      <c r="R200" s="170"/>
      <c r="S200" s="170"/>
    </row>
    <row r="201" spans="1:19">
      <c r="A201" s="176">
        <v>1</v>
      </c>
      <c r="B201" s="78"/>
      <c r="C201" s="170" t="str">
        <f>CONCATENATE("S/PLANO ",$K$200," - TIPO ",L201 )</f>
        <v>S/PLANO H-8431 - TIPO A</v>
      </c>
      <c r="D201" s="175" t="s">
        <v>1256</v>
      </c>
      <c r="G201" s="170"/>
      <c r="H201" s="186"/>
      <c r="I201" s="175"/>
      <c r="J201" s="192">
        <v>1</v>
      </c>
      <c r="K201" s="170"/>
      <c r="L201" s="185" t="s">
        <v>1020</v>
      </c>
      <c r="M201" s="170"/>
      <c r="N201" s="170"/>
      <c r="O201" s="222" t="s">
        <v>1256</v>
      </c>
      <c r="P201" s="170"/>
      <c r="Q201" s="170"/>
      <c r="R201" s="170"/>
      <c r="S201" s="170"/>
    </row>
    <row r="202" spans="1:19">
      <c r="A202" s="176">
        <v>2</v>
      </c>
      <c r="B202" s="177"/>
      <c r="C202" s="170" t="str">
        <f t="shared" ref="C202:C203" si="38">CONCATENATE("S/PLANO ",$K$200," - TIPO ",L202 )</f>
        <v>S/PLANO H-8431 - TIPO B</v>
      </c>
      <c r="D202" s="175" t="s">
        <v>1256</v>
      </c>
      <c r="G202" s="170"/>
      <c r="H202" s="186"/>
      <c r="I202" s="175"/>
      <c r="J202" s="192">
        <v>2</v>
      </c>
      <c r="K202" s="170"/>
      <c r="L202" s="185" t="s">
        <v>1047</v>
      </c>
      <c r="M202" s="170"/>
      <c r="N202" s="170"/>
      <c r="O202" s="222" t="s">
        <v>1256</v>
      </c>
      <c r="P202" s="170"/>
      <c r="Q202" s="170"/>
      <c r="R202" s="170"/>
      <c r="S202" s="170"/>
    </row>
    <row r="203" spans="1:19" ht="15.75" thickBot="1">
      <c r="A203" s="176">
        <v>3</v>
      </c>
      <c r="B203" s="78"/>
      <c r="C203" s="170" t="str">
        <f t="shared" si="38"/>
        <v>S/PLANO H-8431 - TIPO C</v>
      </c>
      <c r="D203" s="175" t="s">
        <v>1256</v>
      </c>
      <c r="G203" s="170"/>
      <c r="H203" s="232"/>
      <c r="I203" s="233"/>
      <c r="J203" s="234">
        <v>3</v>
      </c>
      <c r="K203" s="235"/>
      <c r="L203" s="236" t="s">
        <v>1057</v>
      </c>
      <c r="M203" s="235"/>
      <c r="N203" s="235"/>
      <c r="O203" s="268" t="s">
        <v>1256</v>
      </c>
      <c r="P203" s="170"/>
      <c r="Q203" s="170"/>
      <c r="R203" s="170"/>
      <c r="S203" s="170"/>
    </row>
    <row r="204" spans="1:19">
      <c r="A204" s="176"/>
      <c r="B204" s="177"/>
      <c r="C204" s="78"/>
      <c r="D204" s="175"/>
      <c r="G204" s="170"/>
      <c r="H204" s="174"/>
      <c r="I204" s="175"/>
      <c r="J204" s="170"/>
      <c r="K204" s="170"/>
      <c r="L204" s="170"/>
      <c r="M204" s="170"/>
      <c r="N204" s="170"/>
      <c r="O204" s="173"/>
      <c r="P204" s="170"/>
      <c r="Q204" s="170"/>
      <c r="R204" s="170"/>
      <c r="S204" s="170"/>
    </row>
    <row r="205" spans="1:19">
      <c r="A205" s="176"/>
      <c r="B205" s="169"/>
      <c r="C205" s="78"/>
      <c r="D205" s="175"/>
      <c r="G205" s="170"/>
      <c r="H205" s="208">
        <v>19</v>
      </c>
      <c r="I205" s="210"/>
      <c r="J205" s="220"/>
      <c r="K205" s="265" t="s">
        <v>1302</v>
      </c>
      <c r="L205" s="220"/>
      <c r="M205" s="220"/>
      <c r="N205" s="220"/>
      <c r="O205" s="230"/>
      <c r="P205" s="170"/>
      <c r="Q205" s="170"/>
      <c r="R205" s="170"/>
      <c r="S205" s="170"/>
    </row>
    <row r="206" spans="1:19">
      <c r="A206" s="176"/>
      <c r="B206" s="177"/>
      <c r="C206" s="78"/>
      <c r="D206" s="175"/>
      <c r="G206" s="170"/>
      <c r="H206" s="186"/>
      <c r="I206" s="187" t="s">
        <v>1020</v>
      </c>
      <c r="J206" s="175"/>
      <c r="K206" s="185" t="s">
        <v>1303</v>
      </c>
      <c r="L206" s="170"/>
      <c r="M206" s="170"/>
      <c r="N206" s="170"/>
      <c r="O206" s="222"/>
      <c r="P206" s="170"/>
      <c r="Q206" s="170"/>
      <c r="R206" s="170"/>
      <c r="S206" s="170"/>
    </row>
    <row r="207" spans="1:19">
      <c r="A207" s="176"/>
      <c r="B207" s="169"/>
      <c r="C207" s="78"/>
      <c r="D207" s="175" t="s">
        <v>1256</v>
      </c>
      <c r="G207" s="170"/>
      <c r="H207" s="186"/>
      <c r="I207" s="175"/>
      <c r="J207" s="192">
        <v>4</v>
      </c>
      <c r="K207" s="170"/>
      <c r="L207" s="185" t="s">
        <v>1083</v>
      </c>
      <c r="M207" s="170"/>
      <c r="N207" s="170"/>
      <c r="O207" s="222" t="s">
        <v>1256</v>
      </c>
      <c r="P207" s="170"/>
      <c r="Q207" s="170"/>
      <c r="R207" s="170"/>
      <c r="S207" s="170"/>
    </row>
    <row r="208" spans="1:19">
      <c r="A208" s="176"/>
      <c r="B208" s="177"/>
      <c r="C208" s="78"/>
      <c r="D208" s="175" t="s">
        <v>1256</v>
      </c>
      <c r="G208" s="170"/>
      <c r="H208" s="186"/>
      <c r="I208" s="175"/>
      <c r="J208" s="192">
        <v>5</v>
      </c>
      <c r="K208" s="170"/>
      <c r="L208" s="185" t="s">
        <v>1125</v>
      </c>
      <c r="M208" s="170"/>
      <c r="N208" s="170"/>
      <c r="O208" s="222" t="s">
        <v>1256</v>
      </c>
      <c r="P208" s="170"/>
      <c r="Q208" s="170"/>
      <c r="R208" s="170"/>
      <c r="S208" s="170"/>
    </row>
    <row r="209" spans="1:19">
      <c r="A209" s="176"/>
      <c r="B209" s="169"/>
      <c r="C209" s="78"/>
      <c r="D209" s="175" t="s">
        <v>1256</v>
      </c>
      <c r="G209" s="170"/>
      <c r="H209" s="186"/>
      <c r="I209" s="175"/>
      <c r="J209" s="192">
        <v>6</v>
      </c>
      <c r="K209" s="170"/>
      <c r="L209" s="185" t="s">
        <v>1128</v>
      </c>
      <c r="M209" s="170"/>
      <c r="N209" s="170"/>
      <c r="O209" s="222" t="s">
        <v>1256</v>
      </c>
      <c r="P209" s="170"/>
      <c r="Q209" s="170"/>
      <c r="R209" s="170"/>
      <c r="S209" s="170"/>
    </row>
    <row r="210" spans="1:19">
      <c r="A210" s="176"/>
      <c r="B210" s="169"/>
      <c r="C210" s="78"/>
      <c r="D210" s="175" t="s">
        <v>1256</v>
      </c>
      <c r="G210" s="170"/>
      <c r="H210" s="186"/>
      <c r="I210" s="175"/>
      <c r="J210" s="192">
        <v>7</v>
      </c>
      <c r="K210" s="170"/>
      <c r="L210" s="185" t="s">
        <v>1132</v>
      </c>
      <c r="M210" s="170"/>
      <c r="N210" s="170"/>
      <c r="O210" s="222" t="s">
        <v>1256</v>
      </c>
      <c r="P210" s="170"/>
      <c r="Q210" s="170"/>
      <c r="R210" s="170"/>
      <c r="S210" s="170"/>
    </row>
    <row r="211" spans="1:19">
      <c r="A211" s="176"/>
      <c r="B211" s="169"/>
      <c r="C211" s="194"/>
      <c r="D211" s="175" t="s">
        <v>1256</v>
      </c>
      <c r="G211" s="170"/>
      <c r="H211" s="186"/>
      <c r="I211" s="175"/>
      <c r="J211" s="192">
        <v>8</v>
      </c>
      <c r="K211" s="170"/>
      <c r="L211" s="185" t="s">
        <v>1135</v>
      </c>
      <c r="M211" s="170"/>
      <c r="N211" s="170"/>
      <c r="O211" s="222" t="s">
        <v>1256</v>
      </c>
      <c r="P211" s="170"/>
      <c r="Q211" s="170"/>
      <c r="R211" s="170"/>
      <c r="S211" s="170"/>
    </row>
    <row r="212" spans="1:19">
      <c r="A212" s="176"/>
      <c r="B212" s="177"/>
      <c r="C212" s="78"/>
      <c r="D212" s="175" t="s">
        <v>1256</v>
      </c>
      <c r="G212" s="170"/>
      <c r="H212" s="186"/>
      <c r="I212" s="175"/>
      <c r="J212" s="192">
        <v>9</v>
      </c>
      <c r="K212" s="170"/>
      <c r="L212" s="185" t="s">
        <v>888</v>
      </c>
      <c r="M212" s="170"/>
      <c r="N212" s="170"/>
      <c r="O212" s="222" t="s">
        <v>1256</v>
      </c>
      <c r="P212" s="170"/>
      <c r="Q212" s="170"/>
      <c r="R212" s="170"/>
      <c r="S212" s="170"/>
    </row>
    <row r="213" spans="1:19">
      <c r="A213" s="176"/>
      <c r="B213" s="177"/>
      <c r="C213" s="78"/>
      <c r="D213" s="175" t="s">
        <v>1256</v>
      </c>
      <c r="G213" s="170"/>
      <c r="H213" s="186"/>
      <c r="I213" s="200"/>
      <c r="J213" s="195">
        <v>10</v>
      </c>
      <c r="K213" s="196"/>
      <c r="L213" s="197" t="s">
        <v>1140</v>
      </c>
      <c r="M213" s="196"/>
      <c r="N213" s="196"/>
      <c r="O213" s="240" t="s">
        <v>1256</v>
      </c>
      <c r="P213" s="170"/>
      <c r="Q213" s="170"/>
      <c r="R213" s="170"/>
      <c r="S213" s="170"/>
    </row>
    <row r="214" spans="1:19">
      <c r="A214" s="176"/>
      <c r="B214" s="177"/>
      <c r="C214" s="78"/>
      <c r="D214" s="175" t="s">
        <v>1256</v>
      </c>
      <c r="G214" s="170"/>
      <c r="H214" s="186"/>
      <c r="I214" s="195" t="s">
        <v>1047</v>
      </c>
      <c r="J214" s="175"/>
      <c r="K214" s="185" t="s">
        <v>1304</v>
      </c>
      <c r="L214" s="170"/>
      <c r="M214" s="170"/>
      <c r="N214" s="170"/>
      <c r="O214" s="222" t="s">
        <v>1256</v>
      </c>
      <c r="P214" s="170"/>
      <c r="Q214" s="170"/>
      <c r="R214" s="170"/>
      <c r="S214" s="170"/>
    </row>
    <row r="215" spans="1:19">
      <c r="A215" s="176"/>
      <c r="B215" s="177"/>
      <c r="C215" s="78"/>
      <c r="D215" s="175" t="s">
        <v>1256</v>
      </c>
      <c r="G215" s="170"/>
      <c r="H215" s="186"/>
      <c r="I215" s="175"/>
      <c r="J215" s="192">
        <v>1</v>
      </c>
      <c r="K215" s="170"/>
      <c r="L215" s="185" t="s">
        <v>1020</v>
      </c>
      <c r="M215" s="170"/>
      <c r="N215" s="170"/>
      <c r="O215" s="222" t="s">
        <v>1256</v>
      </c>
      <c r="P215" s="170"/>
      <c r="Q215" s="170"/>
      <c r="R215" s="170"/>
      <c r="S215" s="170"/>
    </row>
    <row r="216" spans="1:19">
      <c r="A216" s="176"/>
      <c r="B216" s="177"/>
      <c r="C216" s="78"/>
      <c r="D216" s="175" t="s">
        <v>1256</v>
      </c>
      <c r="G216" s="170"/>
      <c r="H216" s="186"/>
      <c r="I216" s="175"/>
      <c r="J216" s="192">
        <v>2</v>
      </c>
      <c r="K216" s="170"/>
      <c r="L216" s="185" t="s">
        <v>1047</v>
      </c>
      <c r="M216" s="170"/>
      <c r="N216" s="170"/>
      <c r="O216" s="222" t="s">
        <v>1256</v>
      </c>
      <c r="P216" s="170"/>
      <c r="Q216" s="170"/>
      <c r="R216" s="170"/>
      <c r="S216" s="170"/>
    </row>
    <row r="217" spans="1:19">
      <c r="A217" s="176"/>
      <c r="B217" s="169"/>
      <c r="C217" s="78"/>
      <c r="D217" s="175" t="s">
        <v>1256</v>
      </c>
      <c r="G217" s="170"/>
      <c r="H217" s="186"/>
      <c r="I217" s="175"/>
      <c r="J217" s="192">
        <v>3</v>
      </c>
      <c r="K217" s="170"/>
      <c r="L217" s="185" t="s">
        <v>1057</v>
      </c>
      <c r="M217" s="170"/>
      <c r="N217" s="170"/>
      <c r="O217" s="222" t="s">
        <v>1256</v>
      </c>
      <c r="P217" s="170"/>
      <c r="Q217" s="170"/>
      <c r="R217" s="170"/>
      <c r="S217" s="170"/>
    </row>
    <row r="218" spans="1:19">
      <c r="A218" s="176"/>
      <c r="B218" s="169"/>
      <c r="C218" s="194"/>
      <c r="D218" s="175" t="s">
        <v>1256</v>
      </c>
      <c r="G218" s="170"/>
      <c r="H218" s="186"/>
      <c r="I218" s="175"/>
      <c r="J218" s="192">
        <v>4</v>
      </c>
      <c r="K218" s="170"/>
      <c r="L218" s="185" t="s">
        <v>1083</v>
      </c>
      <c r="M218" s="170"/>
      <c r="N218" s="170"/>
      <c r="O218" s="222" t="s">
        <v>1256</v>
      </c>
      <c r="P218" s="170"/>
      <c r="Q218" s="170"/>
      <c r="R218" s="170"/>
      <c r="S218" s="170"/>
    </row>
    <row r="219" spans="1:19">
      <c r="A219" s="176"/>
      <c r="B219" s="177"/>
      <c r="C219" s="78"/>
      <c r="D219" s="175" t="s">
        <v>1256</v>
      </c>
      <c r="G219" s="170"/>
      <c r="H219" s="186"/>
      <c r="I219" s="170"/>
      <c r="J219" s="192">
        <v>5</v>
      </c>
      <c r="K219" s="170"/>
      <c r="L219" s="185" t="s">
        <v>1125</v>
      </c>
      <c r="M219" s="170"/>
      <c r="N219" s="170"/>
      <c r="O219" s="222" t="s">
        <v>1256</v>
      </c>
      <c r="P219" s="170"/>
      <c r="Q219" s="170"/>
      <c r="R219" s="170"/>
      <c r="S219" s="170"/>
    </row>
    <row r="220" spans="1:19">
      <c r="A220" s="176"/>
      <c r="B220" s="177"/>
      <c r="C220" s="78"/>
      <c r="D220" s="175" t="s">
        <v>1256</v>
      </c>
      <c r="G220" s="170"/>
      <c r="H220" s="186"/>
      <c r="I220" s="170"/>
      <c r="J220" s="192">
        <v>6</v>
      </c>
      <c r="K220" s="170"/>
      <c r="L220" s="185" t="s">
        <v>1128</v>
      </c>
      <c r="M220" s="170"/>
      <c r="N220" s="170"/>
      <c r="O220" s="222" t="s">
        <v>1256</v>
      </c>
      <c r="P220" s="170"/>
      <c r="Q220" s="170"/>
      <c r="R220" s="170"/>
      <c r="S220" s="170"/>
    </row>
    <row r="221" spans="1:19">
      <c r="A221" s="176"/>
      <c r="B221" s="169"/>
      <c r="C221" s="78"/>
      <c r="D221" s="175" t="s">
        <v>1256</v>
      </c>
      <c r="G221" s="170"/>
      <c r="H221" s="186"/>
      <c r="I221" s="175"/>
      <c r="J221" s="192">
        <v>7</v>
      </c>
      <c r="K221" s="170"/>
      <c r="L221" s="185" t="s">
        <v>1132</v>
      </c>
      <c r="M221" s="170"/>
      <c r="N221" s="170"/>
      <c r="O221" s="222" t="s">
        <v>1256</v>
      </c>
      <c r="P221" s="170"/>
      <c r="Q221" s="170"/>
      <c r="R221" s="170"/>
      <c r="S221" s="170"/>
    </row>
    <row r="222" spans="1:19">
      <c r="A222" s="176"/>
      <c r="B222" s="169"/>
      <c r="C222" s="78"/>
      <c r="D222" s="175" t="s">
        <v>1256</v>
      </c>
      <c r="G222" s="170"/>
      <c r="H222" s="186"/>
      <c r="I222" s="175"/>
      <c r="J222" s="192">
        <v>8</v>
      </c>
      <c r="K222" s="170"/>
      <c r="L222" s="185" t="s">
        <v>1135</v>
      </c>
      <c r="M222" s="170"/>
      <c r="N222" s="170"/>
      <c r="O222" s="222" t="s">
        <v>1256</v>
      </c>
      <c r="P222" s="170"/>
      <c r="Q222" s="170"/>
      <c r="R222" s="170"/>
      <c r="S222" s="170"/>
    </row>
    <row r="223" spans="1:19">
      <c r="A223" s="176"/>
      <c r="B223" s="169"/>
      <c r="C223" s="78"/>
      <c r="D223" s="175" t="s">
        <v>1256</v>
      </c>
      <c r="G223" s="170"/>
      <c r="H223" s="186"/>
      <c r="I223" s="175"/>
      <c r="J223" s="192">
        <v>9</v>
      </c>
      <c r="K223" s="170"/>
      <c r="L223" s="185" t="s">
        <v>888</v>
      </c>
      <c r="M223" s="170"/>
      <c r="N223" s="170"/>
      <c r="O223" s="222" t="s">
        <v>1256</v>
      </c>
      <c r="P223" s="170"/>
      <c r="Q223" s="170"/>
      <c r="R223" s="170"/>
      <c r="S223" s="170"/>
    </row>
    <row r="224" spans="1:19">
      <c r="A224" s="176"/>
      <c r="B224" s="169"/>
      <c r="C224" s="194"/>
      <c r="D224" s="175" t="s">
        <v>1256</v>
      </c>
      <c r="G224" s="170"/>
      <c r="H224" s="186"/>
      <c r="I224" s="175"/>
      <c r="J224" s="195">
        <v>10</v>
      </c>
      <c r="K224" s="196"/>
      <c r="L224" s="185" t="s">
        <v>1140</v>
      </c>
      <c r="M224" s="170"/>
      <c r="N224" s="170"/>
      <c r="O224" s="222" t="s">
        <v>1256</v>
      </c>
      <c r="P224" s="170"/>
      <c r="Q224" s="170"/>
      <c r="R224" s="170"/>
      <c r="S224" s="170"/>
    </row>
    <row r="225" spans="1:19">
      <c r="A225" s="176"/>
      <c r="B225" s="177"/>
      <c r="C225" s="78"/>
      <c r="D225" s="175" t="s">
        <v>1256</v>
      </c>
      <c r="G225" s="170"/>
      <c r="H225" s="186"/>
      <c r="I225" s="187" t="s">
        <v>1057</v>
      </c>
      <c r="J225" s="228"/>
      <c r="K225" s="197" t="s">
        <v>1305</v>
      </c>
      <c r="L225" s="228"/>
      <c r="M225" s="228"/>
      <c r="N225" s="228"/>
      <c r="O225" s="244" t="s">
        <v>1256</v>
      </c>
      <c r="P225" s="170"/>
      <c r="Q225" s="170"/>
      <c r="R225" s="170"/>
      <c r="S225" s="170"/>
    </row>
    <row r="226" spans="1:19">
      <c r="A226" s="176"/>
      <c r="B226" s="177"/>
      <c r="C226" s="78"/>
      <c r="D226" s="175" t="s">
        <v>1256</v>
      </c>
      <c r="G226" s="170"/>
      <c r="H226" s="186"/>
      <c r="I226" s="187" t="s">
        <v>1083</v>
      </c>
      <c r="J226" s="228"/>
      <c r="K226" s="245" t="s">
        <v>1139</v>
      </c>
      <c r="L226" s="228"/>
      <c r="M226" s="228"/>
      <c r="N226" s="228"/>
      <c r="O226" s="222" t="s">
        <v>1256</v>
      </c>
      <c r="P226" s="170"/>
      <c r="Q226" s="170"/>
      <c r="R226" s="170"/>
      <c r="S226" s="170"/>
    </row>
    <row r="227" spans="1:19" ht="15.75" thickBot="1">
      <c r="A227" s="176"/>
      <c r="B227" s="177"/>
      <c r="C227" s="78"/>
      <c r="D227" s="175" t="s">
        <v>1256</v>
      </c>
      <c r="G227" s="170"/>
      <c r="H227" s="201"/>
      <c r="I227" s="203" t="s">
        <v>1125</v>
      </c>
      <c r="J227" s="204"/>
      <c r="K227" s="205" t="s">
        <v>1306</v>
      </c>
      <c r="L227" s="204"/>
      <c r="M227" s="204"/>
      <c r="N227" s="204"/>
      <c r="O227" s="248" t="s">
        <v>1256</v>
      </c>
      <c r="P227" s="170"/>
      <c r="Q227" s="170"/>
      <c r="R227" s="170"/>
      <c r="S227" s="170"/>
    </row>
    <row r="228" spans="1:19" ht="16.5" thickTop="1" thickBot="1">
      <c r="A228" s="176">
        <v>20</v>
      </c>
      <c r="B228" s="177" t="s">
        <v>1307</v>
      </c>
      <c r="C228" s="78" t="s">
        <v>1308</v>
      </c>
      <c r="D228" s="175" t="s">
        <v>997</v>
      </c>
      <c r="G228" s="170"/>
      <c r="H228" s="274">
        <v>20</v>
      </c>
      <c r="I228" s="275"/>
      <c r="J228" s="276"/>
      <c r="K228" s="277" t="s">
        <v>1308</v>
      </c>
      <c r="L228" s="276"/>
      <c r="M228" s="276"/>
      <c r="N228" s="276"/>
      <c r="O228" s="278" t="s">
        <v>997</v>
      </c>
      <c r="P228" s="170"/>
      <c r="Q228" s="184">
        <f>H228</f>
        <v>20</v>
      </c>
      <c r="R228" s="175" t="str">
        <f>CONCATENATE("II-",TEXT(Q228,"0000"))</f>
        <v>II-0020</v>
      </c>
      <c r="S228" s="185" t="str">
        <f>K228</f>
        <v>CORTE DE PASTO</v>
      </c>
    </row>
    <row r="229" spans="1:19" ht="15.75" thickTop="1">
      <c r="A229" s="176">
        <v>21</v>
      </c>
      <c r="B229" s="177" t="s">
        <v>1309</v>
      </c>
      <c r="C229" s="78" t="s">
        <v>1310</v>
      </c>
      <c r="D229" s="175"/>
      <c r="G229" s="170"/>
      <c r="H229" s="253">
        <v>21</v>
      </c>
      <c r="I229" s="210"/>
      <c r="J229" s="220"/>
      <c r="K229" s="265" t="s">
        <v>1310</v>
      </c>
      <c r="L229" s="220"/>
      <c r="M229" s="220"/>
      <c r="N229" s="220"/>
      <c r="O229" s="230"/>
      <c r="P229" s="170"/>
      <c r="Q229" s="184">
        <f>H229</f>
        <v>21</v>
      </c>
      <c r="R229" s="175" t="str">
        <f>CONCATENATE("II-",TEXT(Q229,"0000"))</f>
        <v>II-0021</v>
      </c>
      <c r="S229" s="185" t="str">
        <f>K229</f>
        <v xml:space="preserve">CUNETA </v>
      </c>
    </row>
    <row r="230" spans="1:19">
      <c r="A230" s="176"/>
      <c r="B230" s="177"/>
      <c r="C230" s="78"/>
      <c r="D230" s="175" t="s">
        <v>1131</v>
      </c>
      <c r="G230" s="170"/>
      <c r="H230" s="241"/>
      <c r="I230" s="200" t="s">
        <v>1020</v>
      </c>
      <c r="J230" s="196"/>
      <c r="K230" s="197" t="s">
        <v>1311</v>
      </c>
      <c r="L230" s="196"/>
      <c r="M230" s="196"/>
      <c r="N230" s="196"/>
      <c r="O230" s="240" t="s">
        <v>1131</v>
      </c>
      <c r="P230" s="170"/>
      <c r="Q230" s="170"/>
      <c r="R230" s="170"/>
      <c r="S230" s="170"/>
    </row>
    <row r="231" spans="1:19">
      <c r="A231" s="176"/>
      <c r="B231" s="177"/>
      <c r="C231" s="78"/>
      <c r="D231" s="175" t="s">
        <v>1214</v>
      </c>
      <c r="G231" s="170"/>
      <c r="H231" s="241"/>
      <c r="I231" s="187" t="s">
        <v>1047</v>
      </c>
      <c r="J231" s="228"/>
      <c r="K231" s="245" t="s">
        <v>1134</v>
      </c>
      <c r="L231" s="228"/>
      <c r="M231" s="228"/>
      <c r="N231" s="228"/>
      <c r="O231" s="244" t="s">
        <v>1214</v>
      </c>
      <c r="P231" s="170"/>
      <c r="Q231" s="170"/>
      <c r="R231" s="170"/>
      <c r="S231" s="170"/>
    </row>
    <row r="232" spans="1:19">
      <c r="A232" s="176"/>
      <c r="B232" s="177"/>
      <c r="C232" s="78"/>
      <c r="D232" s="175" t="s">
        <v>1256</v>
      </c>
      <c r="G232" s="170"/>
      <c r="H232" s="241"/>
      <c r="I232" s="187" t="s">
        <v>1057</v>
      </c>
      <c r="J232" s="228"/>
      <c r="K232" s="245" t="s">
        <v>1139</v>
      </c>
      <c r="L232" s="228"/>
      <c r="M232" s="228"/>
      <c r="N232" s="228"/>
      <c r="O232" s="244" t="s">
        <v>1256</v>
      </c>
      <c r="P232" s="170"/>
      <c r="Q232" s="170"/>
      <c r="R232" s="170"/>
      <c r="S232" s="170"/>
    </row>
    <row r="233" spans="1:19">
      <c r="A233" s="176"/>
      <c r="B233" s="169"/>
      <c r="C233" s="78"/>
      <c r="D233" s="175" t="s">
        <v>996</v>
      </c>
      <c r="G233" s="170"/>
      <c r="H233" s="241"/>
      <c r="I233" s="187" t="s">
        <v>1083</v>
      </c>
      <c r="J233" s="228"/>
      <c r="K233" s="245" t="s">
        <v>1195</v>
      </c>
      <c r="L233" s="228"/>
      <c r="M233" s="228"/>
      <c r="N233" s="228"/>
      <c r="O233" s="244" t="s">
        <v>996</v>
      </c>
      <c r="P233" s="170"/>
      <c r="Q233" s="170"/>
      <c r="R233" s="170"/>
      <c r="S233" s="170"/>
    </row>
    <row r="234" spans="1:19">
      <c r="A234" s="176"/>
      <c r="B234" s="169"/>
      <c r="C234" s="78"/>
      <c r="D234" s="175" t="s">
        <v>1131</v>
      </c>
      <c r="G234" s="170"/>
      <c r="H234" s="241"/>
      <c r="I234" s="187" t="s">
        <v>1125</v>
      </c>
      <c r="J234" s="228"/>
      <c r="K234" s="245" t="s">
        <v>1312</v>
      </c>
      <c r="L234" s="228"/>
      <c r="M234" s="228"/>
      <c r="N234" s="228"/>
      <c r="O234" s="244" t="s">
        <v>1131</v>
      </c>
      <c r="P234" s="170"/>
      <c r="Q234" s="170"/>
      <c r="R234" s="170"/>
      <c r="S234" s="170"/>
    </row>
    <row r="235" spans="1:19" ht="15.75" thickBot="1">
      <c r="A235" s="176"/>
      <c r="B235" s="169"/>
      <c r="C235" s="194"/>
      <c r="D235" s="175" t="s">
        <v>996</v>
      </c>
      <c r="G235" s="170"/>
      <c r="H235" s="246"/>
      <c r="I235" s="213" t="s">
        <v>1128</v>
      </c>
      <c r="J235" s="216"/>
      <c r="K235" s="247" t="s">
        <v>1313</v>
      </c>
      <c r="L235" s="216"/>
      <c r="M235" s="216"/>
      <c r="N235" s="216"/>
      <c r="O235" s="248" t="s">
        <v>996</v>
      </c>
      <c r="P235" s="170"/>
      <c r="Q235" s="170"/>
      <c r="R235" s="170"/>
      <c r="S235" s="170"/>
    </row>
    <row r="236" spans="1:19" ht="16.5" thickTop="1" thickBot="1">
      <c r="A236" s="176">
        <v>22</v>
      </c>
      <c r="B236" s="177" t="s">
        <v>1314</v>
      </c>
      <c r="C236" s="78" t="s">
        <v>1315</v>
      </c>
      <c r="D236" s="175" t="s">
        <v>4</v>
      </c>
      <c r="G236" s="170"/>
      <c r="H236" s="279">
        <v>22</v>
      </c>
      <c r="I236" s="280"/>
      <c r="J236" s="281"/>
      <c r="K236" s="282" t="s">
        <v>1315</v>
      </c>
      <c r="L236" s="281"/>
      <c r="M236" s="281"/>
      <c r="N236" s="281"/>
      <c r="O236" s="283" t="s">
        <v>4</v>
      </c>
      <c r="P236" s="170"/>
      <c r="Q236" s="184">
        <f>H236</f>
        <v>22</v>
      </c>
      <c r="R236" s="175" t="str">
        <f>CONCATENATE("II-",TEXT(Q236,"0000"))</f>
        <v>II-0022</v>
      </c>
      <c r="S236" s="185" t="str">
        <f>K236</f>
        <v>DARSENA DE DETENCION DE VEHICULOS</v>
      </c>
    </row>
    <row r="237" spans="1:19" ht="15.75" thickTop="1">
      <c r="A237" s="176">
        <v>23</v>
      </c>
      <c r="B237" s="166" t="s">
        <v>1316</v>
      </c>
      <c r="C237" s="166" t="s">
        <v>1317</v>
      </c>
      <c r="D237" s="175"/>
      <c r="G237" s="170"/>
      <c r="H237" s="253">
        <v>23</v>
      </c>
      <c r="I237" s="209"/>
      <c r="J237" s="258"/>
      <c r="K237" s="259" t="s">
        <v>1317</v>
      </c>
      <c r="L237" s="258"/>
      <c r="M237" s="258"/>
      <c r="N237" s="258"/>
      <c r="O237" s="211"/>
      <c r="P237" s="170"/>
      <c r="Q237" s="184">
        <f>H237</f>
        <v>23</v>
      </c>
      <c r="R237" s="175" t="str">
        <f>CONCATENATE("II-",TEXT(Q237,"0000"))</f>
        <v>II-0023</v>
      </c>
      <c r="S237" s="185" t="str">
        <f>K237</f>
        <v>DEFENSA CAMINOS</v>
      </c>
    </row>
    <row r="238" spans="1:19">
      <c r="A238" s="176"/>
      <c r="B238" s="166"/>
      <c r="C238" s="166"/>
      <c r="D238" s="175" t="s">
        <v>1214</v>
      </c>
      <c r="G238" s="170"/>
      <c r="H238" s="186"/>
      <c r="I238" s="187" t="s">
        <v>1020</v>
      </c>
      <c r="J238" s="228"/>
      <c r="K238" s="245" t="s">
        <v>1318</v>
      </c>
      <c r="L238" s="228"/>
      <c r="M238" s="228"/>
      <c r="N238" s="228"/>
      <c r="O238" s="244" t="s">
        <v>1214</v>
      </c>
      <c r="P238" s="170"/>
      <c r="Q238" s="170"/>
      <c r="R238" s="170"/>
      <c r="S238" s="170"/>
    </row>
    <row r="239" spans="1:19">
      <c r="A239" s="176"/>
      <c r="B239" s="166"/>
      <c r="C239" s="166"/>
      <c r="D239" s="175" t="s">
        <v>1214</v>
      </c>
      <c r="G239" s="170"/>
      <c r="H239" s="186"/>
      <c r="I239" s="187" t="s">
        <v>1047</v>
      </c>
      <c r="J239" s="228"/>
      <c r="K239" s="245" t="s">
        <v>1319</v>
      </c>
      <c r="L239" s="228"/>
      <c r="M239" s="228"/>
      <c r="N239" s="228"/>
      <c r="O239" s="244" t="s">
        <v>1214</v>
      </c>
      <c r="P239" s="170"/>
      <c r="Q239" s="170"/>
      <c r="R239" s="170"/>
      <c r="S239" s="170"/>
    </row>
    <row r="240" spans="1:19">
      <c r="A240" s="176"/>
      <c r="B240" s="166"/>
      <c r="C240" s="166"/>
      <c r="D240" s="175" t="s">
        <v>1214</v>
      </c>
      <c r="G240" s="170"/>
      <c r="H240" s="186"/>
      <c r="I240" s="187" t="s">
        <v>1057</v>
      </c>
      <c r="J240" s="228"/>
      <c r="K240" s="245" t="s">
        <v>1320</v>
      </c>
      <c r="L240" s="228"/>
      <c r="M240" s="228"/>
      <c r="N240" s="228"/>
      <c r="O240" s="244" t="s">
        <v>1214</v>
      </c>
      <c r="P240" s="170"/>
      <c r="Q240" s="170"/>
      <c r="R240" s="170"/>
      <c r="S240" s="170"/>
    </row>
    <row r="241" spans="1:19">
      <c r="A241" s="176"/>
      <c r="B241" s="169"/>
      <c r="C241" s="194"/>
      <c r="D241" s="175" t="s">
        <v>1131</v>
      </c>
      <c r="G241" s="170"/>
      <c r="H241" s="186"/>
      <c r="I241" s="187" t="s">
        <v>1083</v>
      </c>
      <c r="J241" s="228"/>
      <c r="K241" s="245" t="s">
        <v>1321</v>
      </c>
      <c r="L241" s="228"/>
      <c r="M241" s="228"/>
      <c r="N241" s="228"/>
      <c r="O241" s="244" t="s">
        <v>1131</v>
      </c>
      <c r="P241" s="170"/>
      <c r="Q241" s="170"/>
      <c r="R241" s="170"/>
      <c r="S241" s="170"/>
    </row>
    <row r="242" spans="1:19">
      <c r="A242" s="176"/>
      <c r="B242" s="177"/>
      <c r="C242" s="78"/>
      <c r="D242" s="175" t="s">
        <v>1131</v>
      </c>
      <c r="G242" s="170"/>
      <c r="H242" s="186"/>
      <c r="I242" s="187" t="s">
        <v>1125</v>
      </c>
      <c r="J242" s="228"/>
      <c r="K242" s="245" t="s">
        <v>1134</v>
      </c>
      <c r="L242" s="228"/>
      <c r="M242" s="228"/>
      <c r="N242" s="228"/>
      <c r="O242" s="244" t="s">
        <v>1131</v>
      </c>
      <c r="P242" s="170"/>
      <c r="Q242" s="170"/>
      <c r="R242" s="170"/>
      <c r="S242" s="170"/>
    </row>
    <row r="243" spans="1:19">
      <c r="A243" s="176"/>
      <c r="B243" s="177"/>
      <c r="C243" s="78"/>
      <c r="D243" s="175" t="s">
        <v>1131</v>
      </c>
      <c r="G243" s="170"/>
      <c r="H243" s="186"/>
      <c r="I243" s="187" t="s">
        <v>1128</v>
      </c>
      <c r="J243" s="228"/>
      <c r="K243" s="245" t="s">
        <v>1089</v>
      </c>
      <c r="L243" s="228"/>
      <c r="M243" s="228"/>
      <c r="N243" s="228"/>
      <c r="O243" s="244" t="s">
        <v>1131</v>
      </c>
      <c r="P243" s="170"/>
      <c r="Q243" s="170"/>
      <c r="R243" s="170"/>
      <c r="S243" s="170"/>
    </row>
    <row r="244" spans="1:19">
      <c r="A244" s="176"/>
      <c r="B244" s="177"/>
      <c r="C244" s="78"/>
      <c r="D244" s="175" t="s">
        <v>1131</v>
      </c>
      <c r="G244" s="170"/>
      <c r="H244" s="186"/>
      <c r="I244" s="187" t="s">
        <v>1132</v>
      </c>
      <c r="J244" s="228"/>
      <c r="K244" s="245" t="s">
        <v>1137</v>
      </c>
      <c r="L244" s="228"/>
      <c r="M244" s="228"/>
      <c r="N244" s="228"/>
      <c r="O244" s="244" t="s">
        <v>1131</v>
      </c>
      <c r="P244" s="170"/>
      <c r="Q244" s="170"/>
      <c r="R244" s="170"/>
      <c r="S244" s="170"/>
    </row>
    <row r="245" spans="1:19" ht="15.75" thickBot="1">
      <c r="A245" s="176"/>
      <c r="B245" s="177"/>
      <c r="C245" s="78"/>
      <c r="D245" s="175" t="s">
        <v>1131</v>
      </c>
      <c r="G245" s="170"/>
      <c r="H245" s="201"/>
      <c r="I245" s="213" t="s">
        <v>1135</v>
      </c>
      <c r="J245" s="216"/>
      <c r="K245" s="247" t="s">
        <v>1322</v>
      </c>
      <c r="L245" s="216"/>
      <c r="M245" s="216"/>
      <c r="N245" s="216"/>
      <c r="O245" s="248" t="s">
        <v>1131</v>
      </c>
      <c r="P245" s="170"/>
      <c r="Q245" s="170"/>
      <c r="R245" s="170"/>
      <c r="S245" s="170"/>
    </row>
    <row r="246" spans="1:19" ht="15.75" thickTop="1">
      <c r="A246" s="176">
        <v>24</v>
      </c>
      <c r="B246" s="169" t="s">
        <v>1323</v>
      </c>
      <c r="C246" s="78" t="s">
        <v>1324</v>
      </c>
      <c r="D246" s="175"/>
      <c r="G246" s="170"/>
      <c r="H246" s="253">
        <v>24</v>
      </c>
      <c r="I246" s="209"/>
      <c r="J246" s="258"/>
      <c r="K246" s="259" t="s">
        <v>1324</v>
      </c>
      <c r="L246" s="258"/>
      <c r="M246" s="258"/>
      <c r="N246" s="258"/>
      <c r="O246" s="211"/>
      <c r="P246" s="170"/>
      <c r="Q246" s="184">
        <f>H246</f>
        <v>24</v>
      </c>
      <c r="R246" s="175" t="str">
        <f>CONCATENATE("II-",TEXT(Q246,"0000"))</f>
        <v>II-0024</v>
      </c>
      <c r="S246" s="185" t="str">
        <f>K246</f>
        <v>DEFENSA DE MARGENES</v>
      </c>
    </row>
    <row r="247" spans="1:19">
      <c r="A247" s="176"/>
      <c r="B247" s="169"/>
      <c r="C247" s="78"/>
      <c r="D247" s="175" t="s">
        <v>1214</v>
      </c>
      <c r="G247" s="170"/>
      <c r="H247" s="186"/>
      <c r="I247" s="187" t="s">
        <v>1020</v>
      </c>
      <c r="J247" s="228"/>
      <c r="K247" s="245" t="s">
        <v>1325</v>
      </c>
      <c r="L247" s="228"/>
      <c r="M247" s="228"/>
      <c r="N247" s="228"/>
      <c r="O247" s="244" t="s">
        <v>1214</v>
      </c>
      <c r="P247" s="170"/>
      <c r="Q247" s="170"/>
      <c r="R247" s="170"/>
      <c r="S247" s="170"/>
    </row>
    <row r="248" spans="1:19">
      <c r="A248" s="176"/>
      <c r="B248" s="169"/>
      <c r="C248" s="194"/>
      <c r="D248" s="175" t="s">
        <v>1131</v>
      </c>
      <c r="G248" s="170"/>
      <c r="H248" s="186"/>
      <c r="I248" s="187" t="s">
        <v>1047</v>
      </c>
      <c r="J248" s="228"/>
      <c r="K248" s="245" t="s">
        <v>1326</v>
      </c>
      <c r="L248" s="228"/>
      <c r="M248" s="228"/>
      <c r="N248" s="228"/>
      <c r="O248" s="244" t="s">
        <v>1131</v>
      </c>
      <c r="P248" s="170"/>
      <c r="Q248" s="170"/>
      <c r="R248" s="170"/>
      <c r="S248" s="170"/>
    </row>
    <row r="249" spans="1:19">
      <c r="A249" s="176"/>
      <c r="B249" s="177"/>
      <c r="C249" s="78"/>
      <c r="D249" s="175" t="s">
        <v>1131</v>
      </c>
      <c r="G249" s="170"/>
      <c r="H249" s="186"/>
      <c r="I249" s="195" t="s">
        <v>1057</v>
      </c>
      <c r="J249" s="196"/>
      <c r="K249" s="197" t="s">
        <v>1327</v>
      </c>
      <c r="L249" s="196"/>
      <c r="M249" s="196"/>
      <c r="N249" s="196"/>
      <c r="O249" s="240" t="s">
        <v>1131</v>
      </c>
      <c r="P249" s="170"/>
      <c r="Q249" s="170"/>
      <c r="R249" s="170"/>
      <c r="S249" s="170"/>
    </row>
    <row r="250" spans="1:19">
      <c r="A250" s="176"/>
      <c r="B250" s="177"/>
      <c r="C250" s="78"/>
      <c r="D250" s="175" t="s">
        <v>1131</v>
      </c>
      <c r="G250" s="170"/>
      <c r="H250" s="186"/>
      <c r="I250" s="187" t="s">
        <v>1083</v>
      </c>
      <c r="J250" s="228"/>
      <c r="K250" s="245" t="s">
        <v>1328</v>
      </c>
      <c r="L250" s="228"/>
      <c r="M250" s="228"/>
      <c r="N250" s="228"/>
      <c r="O250" s="244" t="s">
        <v>1131</v>
      </c>
      <c r="P250" s="170"/>
      <c r="Q250" s="170"/>
      <c r="R250" s="170"/>
      <c r="S250" s="170"/>
    </row>
    <row r="251" spans="1:19" ht="15.75" thickBot="1">
      <c r="A251" s="176"/>
      <c r="B251" s="177"/>
      <c r="C251" s="78"/>
      <c r="D251" s="175" t="s">
        <v>996</v>
      </c>
      <c r="G251" s="170"/>
      <c r="H251" s="232"/>
      <c r="I251" s="267" t="s">
        <v>1125</v>
      </c>
      <c r="J251" s="284"/>
      <c r="K251" s="285" t="s">
        <v>1329</v>
      </c>
      <c r="L251" s="284"/>
      <c r="M251" s="284"/>
      <c r="N251" s="284"/>
      <c r="O251" s="286" t="s">
        <v>996</v>
      </c>
      <c r="P251" s="170"/>
      <c r="Q251" s="170"/>
      <c r="R251" s="170"/>
      <c r="S251" s="170"/>
    </row>
    <row r="252" spans="1:19">
      <c r="A252" s="176"/>
      <c r="B252" s="177"/>
      <c r="C252" s="78"/>
      <c r="D252" s="175"/>
      <c r="G252" s="170"/>
      <c r="H252" s="238"/>
      <c r="I252" s="175"/>
      <c r="J252" s="170"/>
      <c r="K252" s="185"/>
      <c r="L252" s="170"/>
      <c r="M252" s="170"/>
      <c r="N252" s="170"/>
      <c r="O252" s="173"/>
      <c r="P252" s="170"/>
      <c r="Q252" s="170"/>
      <c r="R252" s="170"/>
      <c r="S252" s="170"/>
    </row>
    <row r="253" spans="1:19" s="38" customFormat="1">
      <c r="A253" s="176">
        <v>25</v>
      </c>
      <c r="B253" s="166" t="s">
        <v>1330</v>
      </c>
      <c r="C253" s="166" t="s">
        <v>1331</v>
      </c>
      <c r="D253" s="175"/>
      <c r="G253" s="170"/>
      <c r="H253" s="208">
        <v>25</v>
      </c>
      <c r="I253" s="210"/>
      <c r="J253" s="220"/>
      <c r="K253" s="265" t="s">
        <v>1331</v>
      </c>
      <c r="L253" s="220"/>
      <c r="M253" s="220"/>
      <c r="N253" s="220"/>
      <c r="O253" s="230"/>
      <c r="P253" s="170"/>
      <c r="Q253" s="184">
        <f>H253</f>
        <v>25</v>
      </c>
      <c r="R253" s="175" t="str">
        <f>CONCATENATE("II-",TEXT(Q253,"0000"))</f>
        <v>II-0025</v>
      </c>
      <c r="S253" s="185" t="str">
        <f>K253</f>
        <v>DEFENSA VEHICULAR</v>
      </c>
    </row>
    <row r="254" spans="1:19">
      <c r="A254" s="176"/>
      <c r="B254" s="166"/>
      <c r="C254" s="166"/>
      <c r="D254" s="175"/>
      <c r="G254" s="170"/>
      <c r="H254" s="221"/>
      <c r="I254" s="187" t="s">
        <v>1020</v>
      </c>
      <c r="J254" s="190"/>
      <c r="K254" s="199" t="s">
        <v>1244</v>
      </c>
      <c r="L254" s="190"/>
      <c r="M254" s="190"/>
      <c r="N254" s="190"/>
      <c r="O254" s="231"/>
      <c r="P254" s="170"/>
      <c r="Q254" s="170"/>
      <c r="R254" s="170"/>
      <c r="S254" s="170"/>
    </row>
    <row r="255" spans="1:19">
      <c r="A255" s="176"/>
      <c r="B255" s="166"/>
      <c r="C255" s="166"/>
      <c r="D255" s="175" t="s">
        <v>1256</v>
      </c>
      <c r="G255" s="170"/>
      <c r="H255" s="186"/>
      <c r="I255" s="175"/>
      <c r="J255" s="192">
        <v>1</v>
      </c>
      <c r="K255" s="170"/>
      <c r="L255" s="185" t="s">
        <v>1332</v>
      </c>
      <c r="M255" s="170"/>
      <c r="N255" s="170"/>
      <c r="O255" s="222" t="s">
        <v>1256</v>
      </c>
      <c r="P255" s="170"/>
      <c r="Q255" s="170"/>
      <c r="R255" s="170"/>
      <c r="S255" s="170"/>
    </row>
    <row r="256" spans="1:19">
      <c r="A256" s="176"/>
      <c r="B256" s="166"/>
      <c r="C256" s="166"/>
      <c r="D256" s="175" t="s">
        <v>1256</v>
      </c>
      <c r="G256" s="170"/>
      <c r="H256" s="186"/>
      <c r="I256" s="175"/>
      <c r="J256" s="195">
        <v>2</v>
      </c>
      <c r="K256" s="196"/>
      <c r="L256" s="197" t="s">
        <v>1333</v>
      </c>
      <c r="M256" s="196"/>
      <c r="N256" s="196"/>
      <c r="O256" s="240" t="s">
        <v>1256</v>
      </c>
      <c r="P256" s="170"/>
      <c r="Q256" s="170"/>
      <c r="R256" s="170"/>
      <c r="S256" s="170"/>
    </row>
    <row r="257" spans="1:19">
      <c r="A257" s="176"/>
      <c r="B257" s="166"/>
      <c r="C257" s="166"/>
      <c r="D257" s="175"/>
      <c r="G257" s="170"/>
      <c r="H257" s="186"/>
      <c r="I257" s="187" t="s">
        <v>1047</v>
      </c>
      <c r="J257" s="170"/>
      <c r="K257" s="185" t="s">
        <v>1245</v>
      </c>
      <c r="L257" s="170"/>
      <c r="M257" s="170"/>
      <c r="N257" s="170"/>
      <c r="O257" s="222"/>
      <c r="P257" s="170"/>
      <c r="Q257" s="170"/>
      <c r="R257" s="170"/>
      <c r="S257" s="170"/>
    </row>
    <row r="258" spans="1:19">
      <c r="A258" s="176"/>
      <c r="B258" s="166"/>
      <c r="C258" s="166"/>
      <c r="D258" s="175" t="s">
        <v>1256</v>
      </c>
      <c r="G258" s="170"/>
      <c r="H258" s="186"/>
      <c r="I258" s="175"/>
      <c r="J258" s="192">
        <v>1</v>
      </c>
      <c r="K258" s="170"/>
      <c r="L258" s="185" t="s">
        <v>1334</v>
      </c>
      <c r="M258" s="170"/>
      <c r="N258" s="170"/>
      <c r="O258" s="222" t="s">
        <v>1256</v>
      </c>
      <c r="P258" s="170"/>
      <c r="Q258" s="170"/>
      <c r="R258" s="170"/>
      <c r="S258" s="170"/>
    </row>
    <row r="259" spans="1:19">
      <c r="A259" s="176"/>
      <c r="B259" s="166"/>
      <c r="C259" s="166"/>
      <c r="D259" s="175" t="s">
        <v>1256</v>
      </c>
      <c r="G259" s="170"/>
      <c r="H259" s="186"/>
      <c r="I259" s="175"/>
      <c r="J259" s="192">
        <v>2</v>
      </c>
      <c r="K259" s="170"/>
      <c r="L259" s="185" t="s">
        <v>1335</v>
      </c>
      <c r="M259" s="170"/>
      <c r="N259" s="170"/>
      <c r="O259" s="222" t="s">
        <v>1256</v>
      </c>
      <c r="P259" s="170"/>
      <c r="Q259" s="170"/>
      <c r="R259" s="170"/>
      <c r="S259" s="170"/>
    </row>
    <row r="260" spans="1:19">
      <c r="A260" s="176"/>
      <c r="B260" s="166"/>
      <c r="C260" s="166"/>
      <c r="D260" s="175" t="s">
        <v>996</v>
      </c>
      <c r="G260" s="170"/>
      <c r="H260" s="186"/>
      <c r="I260" s="187" t="s">
        <v>1057</v>
      </c>
      <c r="J260" s="228"/>
      <c r="K260" s="245" t="s">
        <v>1139</v>
      </c>
      <c r="L260" s="228"/>
      <c r="M260" s="228"/>
      <c r="N260" s="228"/>
      <c r="O260" s="244" t="s">
        <v>996</v>
      </c>
      <c r="P260" s="170"/>
      <c r="Q260" s="170"/>
      <c r="R260" s="170"/>
      <c r="S260" s="170"/>
    </row>
    <row r="261" spans="1:19" ht="15.75" thickBot="1">
      <c r="A261" s="176"/>
      <c r="B261" s="166"/>
      <c r="C261" s="166"/>
      <c r="D261" s="175" t="s">
        <v>996</v>
      </c>
      <c r="G261" s="170"/>
      <c r="H261" s="201"/>
      <c r="I261" s="213" t="s">
        <v>1083</v>
      </c>
      <c r="J261" s="216"/>
      <c r="K261" s="247" t="s">
        <v>1137</v>
      </c>
      <c r="L261" s="216"/>
      <c r="M261" s="216"/>
      <c r="N261" s="216"/>
      <c r="O261" s="248" t="s">
        <v>996</v>
      </c>
      <c r="P261" s="170"/>
      <c r="Q261" s="170"/>
      <c r="R261" s="170"/>
      <c r="S261" s="170"/>
    </row>
    <row r="262" spans="1:19" ht="15.75" thickTop="1">
      <c r="A262" s="176">
        <v>26</v>
      </c>
      <c r="B262" s="166" t="s">
        <v>1336</v>
      </c>
      <c r="C262" s="166" t="s">
        <v>1337</v>
      </c>
      <c r="D262" s="175"/>
      <c r="G262" s="170"/>
      <c r="H262" s="253">
        <v>26</v>
      </c>
      <c r="I262" s="209"/>
      <c r="J262" s="258"/>
      <c r="K262" s="259" t="s">
        <v>1337</v>
      </c>
      <c r="L262" s="258"/>
      <c r="M262" s="258"/>
      <c r="N262" s="258"/>
      <c r="O262" s="211"/>
      <c r="P262" s="170"/>
      <c r="Q262" s="184">
        <f>H262</f>
        <v>26</v>
      </c>
      <c r="R262" s="175" t="str">
        <f>CONCATENATE("II-",TEXT(Q262,"0000"))</f>
        <v>II-0026</v>
      </c>
      <c r="S262" s="185" t="str">
        <f>K262</f>
        <v xml:space="preserve">DEMOLICION </v>
      </c>
    </row>
    <row r="263" spans="1:19">
      <c r="A263" s="176"/>
      <c r="B263" s="166"/>
      <c r="C263" s="166"/>
      <c r="D263" s="175" t="s">
        <v>1214</v>
      </c>
      <c r="G263" s="170"/>
      <c r="H263" s="186"/>
      <c r="I263" s="187" t="s">
        <v>1020</v>
      </c>
      <c r="J263" s="228"/>
      <c r="K263" s="245" t="s">
        <v>1262</v>
      </c>
      <c r="L263" s="228"/>
      <c r="M263" s="228"/>
      <c r="N263" s="228"/>
      <c r="O263" s="244" t="s">
        <v>1214</v>
      </c>
      <c r="P263" s="170"/>
      <c r="Q263" s="170"/>
      <c r="R263" s="170"/>
      <c r="S263" s="170"/>
    </row>
    <row r="264" spans="1:19" ht="15.75" thickBot="1">
      <c r="A264" s="176"/>
      <c r="B264" s="166"/>
      <c r="C264" s="166"/>
      <c r="D264" s="175" t="s">
        <v>4</v>
      </c>
      <c r="G264" s="170"/>
      <c r="H264" s="201"/>
      <c r="I264" s="213" t="s">
        <v>1047</v>
      </c>
      <c r="J264" s="216"/>
      <c r="K264" s="247" t="s">
        <v>1338</v>
      </c>
      <c r="L264" s="216"/>
      <c r="M264" s="216"/>
      <c r="N264" s="216"/>
      <c r="O264" s="248" t="s">
        <v>4</v>
      </c>
      <c r="P264" s="170"/>
      <c r="Q264" s="170"/>
      <c r="R264" s="170"/>
      <c r="S264" s="170"/>
    </row>
    <row r="265" spans="1:19" ht="15.75" thickTop="1">
      <c r="A265" s="176">
        <v>27</v>
      </c>
      <c r="B265" s="166" t="s">
        <v>1339</v>
      </c>
      <c r="C265" s="166" t="s">
        <v>1340</v>
      </c>
      <c r="D265" s="175"/>
      <c r="G265" s="170"/>
      <c r="H265" s="208">
        <v>27</v>
      </c>
      <c r="I265" s="210"/>
      <c r="J265" s="220"/>
      <c r="K265" s="265" t="s">
        <v>1340</v>
      </c>
      <c r="L265" s="220"/>
      <c r="M265" s="220"/>
      <c r="N265" s="220"/>
      <c r="O265" s="230"/>
      <c r="P265" s="170"/>
      <c r="Q265" s="184">
        <f>H265</f>
        <v>27</v>
      </c>
      <c r="R265" s="175" t="str">
        <f>CONCATENATE("II-",TEXT(Q265,"0000"))</f>
        <v>II-0027</v>
      </c>
      <c r="S265" s="185" t="str">
        <f>K265</f>
        <v>DESAGUES</v>
      </c>
    </row>
    <row r="266" spans="1:19">
      <c r="A266" s="176"/>
      <c r="B266" s="166"/>
      <c r="C266" s="166"/>
      <c r="D266" s="175" t="s">
        <v>1248</v>
      </c>
      <c r="G266" s="170"/>
      <c r="H266" s="186"/>
      <c r="I266" s="187" t="s">
        <v>1020</v>
      </c>
      <c r="J266" s="228"/>
      <c r="K266" s="245" t="s">
        <v>1341</v>
      </c>
      <c r="L266" s="228"/>
      <c r="M266" s="228"/>
      <c r="N266" s="228"/>
      <c r="O266" s="244" t="s">
        <v>1248</v>
      </c>
      <c r="P266" s="170"/>
      <c r="Q266" s="170"/>
      <c r="R266" s="170"/>
      <c r="S266" s="170"/>
    </row>
    <row r="267" spans="1:19">
      <c r="A267" s="176"/>
      <c r="B267" s="166"/>
      <c r="C267" s="166"/>
      <c r="D267" s="175" t="s">
        <v>1248</v>
      </c>
      <c r="G267" s="170"/>
      <c r="H267" s="186"/>
      <c r="I267" s="187" t="s">
        <v>1047</v>
      </c>
      <c r="J267" s="228"/>
      <c r="K267" s="245" t="s">
        <v>1342</v>
      </c>
      <c r="L267" s="228"/>
      <c r="M267" s="228"/>
      <c r="N267" s="228"/>
      <c r="O267" s="244" t="s">
        <v>1248</v>
      </c>
      <c r="P267" s="170"/>
      <c r="Q267" s="170"/>
      <c r="R267" s="170"/>
      <c r="S267" s="170"/>
    </row>
    <row r="268" spans="1:19">
      <c r="A268" s="176"/>
      <c r="B268" s="166"/>
      <c r="C268" s="166"/>
      <c r="D268" s="175"/>
      <c r="G268" s="170"/>
      <c r="H268" s="186"/>
      <c r="I268" s="187" t="s">
        <v>1057</v>
      </c>
      <c r="J268" s="170"/>
      <c r="K268" s="185" t="s">
        <v>1343</v>
      </c>
      <c r="L268" s="170"/>
      <c r="M268" s="170"/>
      <c r="N268" s="170"/>
      <c r="O268" s="222"/>
      <c r="P268" s="170"/>
      <c r="Q268" s="170"/>
      <c r="R268" s="170"/>
      <c r="S268" s="170"/>
    </row>
    <row r="269" spans="1:19">
      <c r="A269" s="176"/>
      <c r="B269" s="166"/>
      <c r="C269" s="166"/>
      <c r="D269" s="175" t="s">
        <v>1248</v>
      </c>
      <c r="G269" s="170"/>
      <c r="H269" s="186"/>
      <c r="I269" s="175"/>
      <c r="J269" s="192">
        <v>1</v>
      </c>
      <c r="K269" s="170"/>
      <c r="L269" s="185" t="s">
        <v>1249</v>
      </c>
      <c r="M269" s="170"/>
      <c r="N269" s="170"/>
      <c r="O269" s="222" t="s">
        <v>1248</v>
      </c>
      <c r="P269" s="170"/>
      <c r="Q269" s="170"/>
      <c r="R269" s="170"/>
      <c r="S269" s="170"/>
    </row>
    <row r="270" spans="1:19">
      <c r="A270" s="176"/>
      <c r="B270" s="166"/>
      <c r="C270" s="166"/>
      <c r="D270" s="175" t="s">
        <v>1248</v>
      </c>
      <c r="G270" s="170"/>
      <c r="H270" s="186"/>
      <c r="I270" s="175"/>
      <c r="J270" s="195">
        <v>2</v>
      </c>
      <c r="K270" s="170"/>
      <c r="L270" s="185" t="s">
        <v>1252</v>
      </c>
      <c r="M270" s="170"/>
      <c r="N270" s="170"/>
      <c r="O270" s="222" t="s">
        <v>1248</v>
      </c>
      <c r="P270" s="170"/>
      <c r="Q270" s="170"/>
      <c r="R270" s="170"/>
      <c r="S270" s="170"/>
    </row>
    <row r="271" spans="1:19">
      <c r="A271" s="176"/>
      <c r="B271" s="166"/>
      <c r="C271" s="166"/>
      <c r="D271" s="175" t="s">
        <v>1248</v>
      </c>
      <c r="G271" s="170"/>
      <c r="H271" s="186"/>
      <c r="I271" s="187" t="s">
        <v>1083</v>
      </c>
      <c r="J271" s="228"/>
      <c r="K271" s="245" t="s">
        <v>1139</v>
      </c>
      <c r="L271" s="228"/>
      <c r="M271" s="228"/>
      <c r="N271" s="228"/>
      <c r="O271" s="244" t="s">
        <v>1248</v>
      </c>
      <c r="P271" s="170"/>
      <c r="Q271" s="170"/>
      <c r="R271" s="170"/>
      <c r="S271" s="170"/>
    </row>
    <row r="272" spans="1:19">
      <c r="A272" s="176"/>
      <c r="B272" s="166"/>
      <c r="C272" s="166"/>
      <c r="D272" s="175" t="s">
        <v>1248</v>
      </c>
      <c r="G272" s="170"/>
      <c r="H272" s="186"/>
      <c r="I272" s="195" t="s">
        <v>1125</v>
      </c>
      <c r="J272" s="196"/>
      <c r="K272" s="197" t="s">
        <v>1137</v>
      </c>
      <c r="L272" s="196"/>
      <c r="M272" s="196"/>
      <c r="N272" s="196"/>
      <c r="O272" s="240" t="s">
        <v>1248</v>
      </c>
      <c r="P272" s="170"/>
      <c r="Q272" s="170"/>
      <c r="R272" s="170"/>
      <c r="S272" s="170"/>
    </row>
    <row r="273" spans="1:19" ht="15.75" thickBot="1">
      <c r="A273" s="176"/>
      <c r="B273" s="166"/>
      <c r="C273" s="166"/>
      <c r="D273" s="175" t="s">
        <v>1248</v>
      </c>
      <c r="G273" s="170"/>
      <c r="H273" s="186"/>
      <c r="I273" s="187" t="s">
        <v>1128</v>
      </c>
      <c r="J273" s="228"/>
      <c r="K273" s="245" t="s">
        <v>1134</v>
      </c>
      <c r="L273" s="228"/>
      <c r="M273" s="228"/>
      <c r="N273" s="228"/>
      <c r="O273" s="244" t="s">
        <v>1248</v>
      </c>
      <c r="P273" s="170"/>
      <c r="Q273" s="170"/>
      <c r="R273" s="170"/>
      <c r="S273" s="170"/>
    </row>
    <row r="274" spans="1:19" ht="16.5" thickTop="1" thickBot="1">
      <c r="A274" s="176">
        <v>28</v>
      </c>
      <c r="B274" s="166" t="s">
        <v>1344</v>
      </c>
      <c r="C274" s="166" t="s">
        <v>1345</v>
      </c>
      <c r="D274" s="175" t="s">
        <v>997</v>
      </c>
      <c r="G274" s="170"/>
      <c r="H274" s="253">
        <v>28</v>
      </c>
      <c r="I274" s="209"/>
      <c r="J274" s="258"/>
      <c r="K274" s="259" t="s">
        <v>1345</v>
      </c>
      <c r="L274" s="258"/>
      <c r="M274" s="258"/>
      <c r="N274" s="258"/>
      <c r="O274" s="211" t="s">
        <v>997</v>
      </c>
      <c r="P274" s="170"/>
      <c r="Q274" s="184">
        <f t="shared" ref="Q274:Q279" si="39">H274</f>
        <v>28</v>
      </c>
      <c r="R274" s="175" t="str">
        <f t="shared" ref="R274:R279" si="40">CONCATENATE("II-",TEXT(Q274,"0000"))</f>
        <v>II-0028</v>
      </c>
      <c r="S274" s="185" t="str">
        <f t="shared" ref="S274:S279" si="41">K274</f>
        <v>DESBOSQUE / DESTRONQUE LIMPIEZA</v>
      </c>
    </row>
    <row r="275" spans="1:19" ht="16.5" thickTop="1" thickBot="1">
      <c r="A275" s="176">
        <v>29</v>
      </c>
      <c r="B275" s="166" t="s">
        <v>1346</v>
      </c>
      <c r="C275" s="166" t="s">
        <v>1347</v>
      </c>
      <c r="D275" s="175" t="s">
        <v>1131</v>
      </c>
      <c r="G275" s="170"/>
      <c r="H275" s="253">
        <v>29</v>
      </c>
      <c r="I275" s="209"/>
      <c r="J275" s="258"/>
      <c r="K275" s="259" t="s">
        <v>1347</v>
      </c>
      <c r="L275" s="258"/>
      <c r="M275" s="258"/>
      <c r="N275" s="258"/>
      <c r="O275" s="211" t="s">
        <v>1131</v>
      </c>
      <c r="P275" s="170"/>
      <c r="Q275" s="184">
        <f t="shared" si="39"/>
        <v>29</v>
      </c>
      <c r="R275" s="175" t="str">
        <f t="shared" si="40"/>
        <v>II-0029</v>
      </c>
      <c r="S275" s="185" t="str">
        <f t="shared" si="41"/>
        <v>DESCARGA</v>
      </c>
    </row>
    <row r="276" spans="1:19" ht="16.5" thickTop="1" thickBot="1">
      <c r="A276" s="176">
        <v>30</v>
      </c>
      <c r="B276" s="166" t="s">
        <v>1348</v>
      </c>
      <c r="C276" s="166" t="s">
        <v>1349</v>
      </c>
      <c r="D276" s="175" t="s">
        <v>1131</v>
      </c>
      <c r="G276" s="170"/>
      <c r="H276" s="279">
        <v>30</v>
      </c>
      <c r="I276" s="280"/>
      <c r="J276" s="281"/>
      <c r="K276" s="282" t="s">
        <v>1349</v>
      </c>
      <c r="L276" s="281"/>
      <c r="M276" s="281"/>
      <c r="N276" s="281"/>
      <c r="O276" s="283" t="s">
        <v>1131</v>
      </c>
      <c r="P276" s="170"/>
      <c r="Q276" s="184">
        <f t="shared" si="39"/>
        <v>30</v>
      </c>
      <c r="R276" s="175" t="str">
        <f t="shared" si="40"/>
        <v>II-0030</v>
      </c>
      <c r="S276" s="185" t="str">
        <f t="shared" si="41"/>
        <v>DESEMBARRO P/ SANEAMIENTO</v>
      </c>
    </row>
    <row r="277" spans="1:19" ht="16.5" thickTop="1" thickBot="1">
      <c r="A277" s="176">
        <v>31</v>
      </c>
      <c r="B277" s="166" t="s">
        <v>1350</v>
      </c>
      <c r="C277" s="166" t="s">
        <v>1351</v>
      </c>
      <c r="D277" s="175" t="s">
        <v>997</v>
      </c>
      <c r="G277" s="170"/>
      <c r="H277" s="279">
        <v>31</v>
      </c>
      <c r="I277" s="280"/>
      <c r="J277" s="281"/>
      <c r="K277" s="282" t="s">
        <v>1351</v>
      </c>
      <c r="L277" s="281"/>
      <c r="M277" s="281"/>
      <c r="N277" s="281"/>
      <c r="O277" s="283" t="s">
        <v>997</v>
      </c>
      <c r="P277" s="170"/>
      <c r="Q277" s="184">
        <f t="shared" si="39"/>
        <v>31</v>
      </c>
      <c r="R277" s="175" t="str">
        <f t="shared" si="40"/>
        <v>II-0031</v>
      </c>
      <c r="S277" s="185" t="str">
        <f t="shared" si="41"/>
        <v>DESPEDRADO DE LADERAS</v>
      </c>
    </row>
    <row r="278" spans="1:19" ht="16.5" thickTop="1" thickBot="1">
      <c r="A278" s="176">
        <v>32</v>
      </c>
      <c r="B278" s="166" t="s">
        <v>1352</v>
      </c>
      <c r="C278" s="166" t="s">
        <v>1353</v>
      </c>
      <c r="D278" s="175" t="s">
        <v>4</v>
      </c>
      <c r="G278" s="170"/>
      <c r="H278" s="279">
        <v>32</v>
      </c>
      <c r="I278" s="280"/>
      <c r="J278" s="281"/>
      <c r="K278" s="282" t="s">
        <v>1353</v>
      </c>
      <c r="L278" s="281"/>
      <c r="M278" s="281"/>
      <c r="N278" s="281"/>
      <c r="O278" s="283" t="s">
        <v>4</v>
      </c>
      <c r="P278" s="170"/>
      <c r="Q278" s="184">
        <f t="shared" si="39"/>
        <v>32</v>
      </c>
      <c r="R278" s="175" t="str">
        <f t="shared" si="40"/>
        <v>II-0032</v>
      </c>
      <c r="S278" s="185" t="str">
        <f t="shared" si="41"/>
        <v>DESVIO</v>
      </c>
    </row>
    <row r="279" spans="1:19" ht="15.75" thickTop="1">
      <c r="A279" s="176">
        <v>33</v>
      </c>
      <c r="B279" s="166" t="s">
        <v>1354</v>
      </c>
      <c r="C279" s="166" t="s">
        <v>1355</v>
      </c>
      <c r="D279" s="175"/>
      <c r="G279" s="170"/>
      <c r="H279" s="208">
        <v>33</v>
      </c>
      <c r="I279" s="210"/>
      <c r="J279" s="220"/>
      <c r="K279" s="265" t="s">
        <v>1355</v>
      </c>
      <c r="L279" s="220"/>
      <c r="M279" s="220"/>
      <c r="N279" s="220"/>
      <c r="O279" s="230"/>
      <c r="P279" s="170"/>
      <c r="Q279" s="184">
        <f t="shared" si="39"/>
        <v>33</v>
      </c>
      <c r="R279" s="175" t="str">
        <f t="shared" si="40"/>
        <v>II-0033</v>
      </c>
      <c r="S279" s="185" t="str">
        <f t="shared" si="41"/>
        <v>DRENES</v>
      </c>
    </row>
    <row r="280" spans="1:19">
      <c r="A280" s="176"/>
      <c r="B280" s="166"/>
      <c r="C280" s="166"/>
      <c r="D280" s="175"/>
      <c r="G280" s="170"/>
      <c r="H280" s="186"/>
      <c r="I280" s="187" t="s">
        <v>1020</v>
      </c>
      <c r="J280" s="175"/>
      <c r="K280" s="185" t="s">
        <v>1356</v>
      </c>
      <c r="L280" s="170"/>
      <c r="M280" s="170"/>
      <c r="N280" s="170"/>
      <c r="O280" s="222"/>
      <c r="P280" s="170"/>
      <c r="Q280" s="170"/>
      <c r="R280" s="170"/>
      <c r="S280" s="170"/>
    </row>
    <row r="281" spans="1:19">
      <c r="A281" s="176"/>
      <c r="B281" s="166"/>
      <c r="C281" s="166"/>
      <c r="D281" s="175" t="s">
        <v>1214</v>
      </c>
      <c r="G281" s="170"/>
      <c r="H281" s="186"/>
      <c r="I281" s="175"/>
      <c r="J281" s="192">
        <v>1</v>
      </c>
      <c r="K281" s="170"/>
      <c r="L281" s="185" t="s">
        <v>1357</v>
      </c>
      <c r="M281" s="170"/>
      <c r="N281" s="170"/>
      <c r="O281" s="222" t="s">
        <v>1214</v>
      </c>
      <c r="P281" s="170"/>
      <c r="Q281" s="170"/>
      <c r="R281" s="170"/>
      <c r="S281" s="170"/>
    </row>
    <row r="282" spans="1:19">
      <c r="A282" s="176"/>
      <c r="B282" s="166"/>
      <c r="C282" s="166"/>
      <c r="D282" s="175" t="s">
        <v>1131</v>
      </c>
      <c r="G282" s="170"/>
      <c r="H282" s="186"/>
      <c r="I282" s="175"/>
      <c r="J282" s="192">
        <v>2</v>
      </c>
      <c r="K282" s="170"/>
      <c r="L282" s="185" t="s">
        <v>1358</v>
      </c>
      <c r="M282" s="170"/>
      <c r="N282" s="170"/>
      <c r="O282" s="222" t="s">
        <v>1131</v>
      </c>
      <c r="P282" s="170"/>
      <c r="Q282" s="170"/>
      <c r="R282" s="170"/>
      <c r="S282" s="170"/>
    </row>
    <row r="283" spans="1:19">
      <c r="A283" s="176"/>
      <c r="B283" s="166"/>
      <c r="C283" s="166"/>
      <c r="D283" s="175" t="s">
        <v>996</v>
      </c>
      <c r="G283" s="170"/>
      <c r="H283" s="186"/>
      <c r="I283" s="200"/>
      <c r="J283" s="195">
        <v>3</v>
      </c>
      <c r="K283" s="196"/>
      <c r="L283" s="197" t="s">
        <v>1359</v>
      </c>
      <c r="M283" s="196"/>
      <c r="N283" s="196"/>
      <c r="O283" s="240" t="s">
        <v>996</v>
      </c>
      <c r="P283" s="170"/>
      <c r="Q283" s="170"/>
      <c r="R283" s="170"/>
      <c r="S283" s="170"/>
    </row>
    <row r="284" spans="1:19">
      <c r="A284" s="176"/>
      <c r="B284" s="166"/>
      <c r="C284" s="166"/>
      <c r="D284" s="175"/>
      <c r="G284" s="170"/>
      <c r="H284" s="186"/>
      <c r="I284" s="195" t="s">
        <v>1047</v>
      </c>
      <c r="J284" s="175"/>
      <c r="K284" s="185" t="s">
        <v>1360</v>
      </c>
      <c r="L284" s="170"/>
      <c r="M284" s="170"/>
      <c r="N284" s="170"/>
      <c r="O284" s="222"/>
      <c r="P284" s="170"/>
      <c r="Q284" s="170"/>
      <c r="R284" s="170"/>
      <c r="S284" s="170"/>
    </row>
    <row r="285" spans="1:19">
      <c r="A285" s="176"/>
      <c r="B285" s="166"/>
      <c r="C285" s="166"/>
      <c r="D285" s="175" t="s">
        <v>1214</v>
      </c>
      <c r="G285" s="170"/>
      <c r="H285" s="186"/>
      <c r="I285" s="175"/>
      <c r="J285" s="192">
        <v>1</v>
      </c>
      <c r="K285" s="170"/>
      <c r="L285" s="185" t="s">
        <v>1357</v>
      </c>
      <c r="M285" s="170"/>
      <c r="N285" s="170"/>
      <c r="O285" s="222" t="s">
        <v>1214</v>
      </c>
      <c r="P285" s="170"/>
      <c r="Q285" s="170"/>
      <c r="R285" s="170"/>
      <c r="S285" s="170"/>
    </row>
    <row r="286" spans="1:19">
      <c r="A286" s="176"/>
      <c r="B286" s="166"/>
      <c r="C286" s="166"/>
      <c r="D286" s="175" t="s">
        <v>1131</v>
      </c>
      <c r="G286" s="170"/>
      <c r="H286" s="186"/>
      <c r="I286" s="175"/>
      <c r="J286" s="192">
        <v>2</v>
      </c>
      <c r="K286" s="170"/>
      <c r="L286" s="185" t="s">
        <v>1358</v>
      </c>
      <c r="M286" s="170"/>
      <c r="N286" s="170"/>
      <c r="O286" s="222" t="s">
        <v>1131</v>
      </c>
      <c r="P286" s="170"/>
      <c r="Q286" s="170"/>
      <c r="R286" s="170"/>
      <c r="S286" s="170"/>
    </row>
    <row r="287" spans="1:19">
      <c r="A287" s="176"/>
      <c r="B287" s="166"/>
      <c r="C287" s="166"/>
      <c r="D287" s="175" t="s">
        <v>996</v>
      </c>
      <c r="G287" s="170"/>
      <c r="H287" s="186"/>
      <c r="I287" s="200"/>
      <c r="J287" s="195">
        <v>3</v>
      </c>
      <c r="K287" s="196"/>
      <c r="L287" s="197" t="s">
        <v>1359</v>
      </c>
      <c r="M287" s="196"/>
      <c r="N287" s="196"/>
      <c r="O287" s="240" t="s">
        <v>996</v>
      </c>
      <c r="P287" s="170"/>
      <c r="Q287" s="170"/>
      <c r="R287" s="170"/>
      <c r="S287" s="170"/>
    </row>
    <row r="288" spans="1:19">
      <c r="A288" s="176"/>
      <c r="B288" s="166"/>
      <c r="C288" s="166"/>
      <c r="D288" s="175"/>
      <c r="G288" s="170"/>
      <c r="H288" s="186"/>
      <c r="I288" s="195" t="s">
        <v>1057</v>
      </c>
      <c r="J288" s="175"/>
      <c r="K288" s="185" t="s">
        <v>1361</v>
      </c>
      <c r="L288" s="170"/>
      <c r="M288" s="170"/>
      <c r="N288" s="170"/>
      <c r="O288" s="222"/>
      <c r="P288" s="170"/>
      <c r="Q288" s="170"/>
      <c r="R288" s="170"/>
      <c r="S288" s="170"/>
    </row>
    <row r="289" spans="1:19">
      <c r="A289" s="176"/>
      <c r="B289" s="166"/>
      <c r="C289" s="166"/>
      <c r="D289" s="175" t="s">
        <v>1256</v>
      </c>
      <c r="G289" s="170"/>
      <c r="H289" s="186"/>
      <c r="I289" s="175"/>
      <c r="J289" s="192">
        <v>1</v>
      </c>
      <c r="K289" s="170"/>
      <c r="L289" s="185" t="s">
        <v>1362</v>
      </c>
      <c r="M289" s="170"/>
      <c r="N289" s="170"/>
      <c r="O289" s="222" t="s">
        <v>1256</v>
      </c>
      <c r="P289" s="170"/>
      <c r="Q289" s="170"/>
      <c r="R289" s="170"/>
      <c r="S289" s="170"/>
    </row>
    <row r="290" spans="1:19">
      <c r="A290" s="176"/>
      <c r="B290" s="166"/>
      <c r="C290" s="166"/>
      <c r="D290" s="175" t="s">
        <v>1256</v>
      </c>
      <c r="G290" s="170"/>
      <c r="H290" s="186"/>
      <c r="I290" s="187" t="s">
        <v>1083</v>
      </c>
      <c r="J290" s="228"/>
      <c r="K290" s="245" t="s">
        <v>1089</v>
      </c>
      <c r="L290" s="228"/>
      <c r="M290" s="228"/>
      <c r="N290" s="228"/>
      <c r="O290" s="244" t="s">
        <v>1256</v>
      </c>
      <c r="P290" s="170"/>
      <c r="Q290" s="170"/>
      <c r="R290" s="170"/>
      <c r="S290" s="170"/>
    </row>
    <row r="291" spans="1:19" ht="15.75" thickBot="1">
      <c r="A291" s="176"/>
      <c r="B291" s="166"/>
      <c r="C291" s="166"/>
      <c r="D291" s="175" t="s">
        <v>1256</v>
      </c>
      <c r="G291" s="170"/>
      <c r="H291" s="186"/>
      <c r="I291" s="213" t="s">
        <v>1125</v>
      </c>
      <c r="J291" s="170"/>
      <c r="K291" s="185" t="s">
        <v>1137</v>
      </c>
      <c r="L291" s="170"/>
      <c r="M291" s="170"/>
      <c r="N291" s="170"/>
      <c r="O291" s="222" t="s">
        <v>1256</v>
      </c>
      <c r="P291" s="170"/>
      <c r="Q291" s="170"/>
      <c r="R291" s="170"/>
      <c r="S291" s="170"/>
    </row>
    <row r="292" spans="1:19" ht="15.75" thickTop="1">
      <c r="A292" s="176">
        <v>34</v>
      </c>
      <c r="B292" s="166" t="s">
        <v>1363</v>
      </c>
      <c r="C292" s="166" t="s">
        <v>1364</v>
      </c>
      <c r="D292" s="175"/>
      <c r="G292" s="170"/>
      <c r="H292" s="253">
        <v>34</v>
      </c>
      <c r="I292" s="209"/>
      <c r="J292" s="258"/>
      <c r="K292" s="259" t="s">
        <v>1364</v>
      </c>
      <c r="L292" s="258"/>
      <c r="M292" s="258"/>
      <c r="N292" s="258"/>
      <c r="O292" s="211"/>
      <c r="P292" s="170"/>
      <c r="Q292" s="184">
        <f>H292</f>
        <v>34</v>
      </c>
      <c r="R292" s="175" t="str">
        <f>CONCATENATE("II-",TEXT(Q292,"0000"))</f>
        <v>II-0034</v>
      </c>
      <c r="S292" s="185" t="str">
        <f>K292</f>
        <v>ELEVACION DE GUARDARUEDAS</v>
      </c>
    </row>
    <row r="293" spans="1:19" ht="15.75" thickBot="1">
      <c r="A293" s="176"/>
      <c r="B293" s="166"/>
      <c r="C293" s="166"/>
      <c r="D293" s="175" t="s">
        <v>1214</v>
      </c>
      <c r="G293" s="170"/>
      <c r="H293" s="287"/>
      <c r="I293" s="267" t="s">
        <v>1020</v>
      </c>
      <c r="J293" s="284"/>
      <c r="K293" s="285" t="s">
        <v>1365</v>
      </c>
      <c r="L293" s="284"/>
      <c r="M293" s="284"/>
      <c r="N293" s="284"/>
      <c r="O293" s="286" t="s">
        <v>1214</v>
      </c>
      <c r="P293" s="170"/>
      <c r="Q293" s="170"/>
      <c r="R293" s="170"/>
      <c r="S293" s="170"/>
    </row>
    <row r="294" spans="1:19">
      <c r="A294" s="176">
        <v>35</v>
      </c>
      <c r="B294" s="166" t="s">
        <v>1366</v>
      </c>
      <c r="C294" s="166" t="s">
        <v>1367</v>
      </c>
      <c r="D294" s="175"/>
      <c r="G294" s="170"/>
      <c r="H294" s="208">
        <v>35</v>
      </c>
      <c r="I294" s="210"/>
      <c r="J294" s="220"/>
      <c r="K294" s="265" t="s">
        <v>1367</v>
      </c>
      <c r="L294" s="220"/>
      <c r="M294" s="220"/>
      <c r="N294" s="220"/>
      <c r="O294" s="230"/>
      <c r="P294" s="170"/>
      <c r="Q294" s="184">
        <f>H294</f>
        <v>35</v>
      </c>
      <c r="R294" s="175" t="str">
        <f>CONCATENATE("II-",TEXT(Q294,"0000"))</f>
        <v>II-0035</v>
      </c>
      <c r="S294" s="185" t="str">
        <f>K294</f>
        <v>ENCAUZAMIENTO</v>
      </c>
    </row>
    <row r="295" spans="1:19">
      <c r="A295" s="176"/>
      <c r="B295" s="166"/>
      <c r="C295" s="166"/>
      <c r="D295" s="175" t="s">
        <v>1131</v>
      </c>
      <c r="G295" s="170"/>
      <c r="H295" s="186"/>
      <c r="I295" s="187" t="s">
        <v>1020</v>
      </c>
      <c r="J295" s="228"/>
      <c r="K295" s="245" t="s">
        <v>1313</v>
      </c>
      <c r="L295" s="228"/>
      <c r="M295" s="228"/>
      <c r="N295" s="228"/>
      <c r="O295" s="244" t="s">
        <v>1131</v>
      </c>
      <c r="P295" s="170"/>
      <c r="Q295" s="170"/>
      <c r="R295" s="170"/>
      <c r="S295" s="170"/>
    </row>
    <row r="296" spans="1:19">
      <c r="A296" s="176"/>
      <c r="B296" s="166"/>
      <c r="C296" s="166"/>
      <c r="D296" s="175"/>
      <c r="G296" s="170"/>
      <c r="H296" s="186"/>
      <c r="I296" s="187" t="s">
        <v>1047</v>
      </c>
      <c r="J296" s="175"/>
      <c r="K296" s="185" t="s">
        <v>1368</v>
      </c>
      <c r="L296" s="170"/>
      <c r="M296" s="170"/>
      <c r="N296" s="170"/>
      <c r="O296" s="222"/>
      <c r="P296" s="170"/>
      <c r="Q296" s="170"/>
      <c r="R296" s="170"/>
      <c r="S296" s="170"/>
    </row>
    <row r="297" spans="1:19">
      <c r="A297" s="176"/>
      <c r="B297" s="166"/>
      <c r="C297" s="166"/>
      <c r="D297" s="175" t="s">
        <v>1131</v>
      </c>
      <c r="G297" s="170"/>
      <c r="H297" s="186"/>
      <c r="I297" s="175"/>
      <c r="J297" s="192">
        <v>1</v>
      </c>
      <c r="K297" s="170"/>
      <c r="L297" s="185" t="s">
        <v>1369</v>
      </c>
      <c r="M297" s="170"/>
      <c r="N297" s="170"/>
      <c r="O297" s="222" t="s">
        <v>1131</v>
      </c>
      <c r="P297" s="170"/>
      <c r="Q297" s="170"/>
      <c r="R297" s="170"/>
      <c r="S297" s="170"/>
    </row>
    <row r="298" spans="1:19" ht="15.75" thickBot="1">
      <c r="A298" s="176"/>
      <c r="B298" s="166"/>
      <c r="C298" s="166"/>
      <c r="D298" s="175" t="s">
        <v>1131</v>
      </c>
      <c r="G298" s="170"/>
      <c r="H298" s="232"/>
      <c r="I298" s="233"/>
      <c r="J298" s="234">
        <v>2</v>
      </c>
      <c r="K298" s="235"/>
      <c r="L298" s="236" t="s">
        <v>1245</v>
      </c>
      <c r="M298" s="235"/>
      <c r="N298" s="235"/>
      <c r="O298" s="268" t="s">
        <v>1131</v>
      </c>
      <c r="P298" s="170"/>
      <c r="Q298" s="170"/>
      <c r="R298" s="170"/>
      <c r="S298" s="170"/>
    </row>
    <row r="299" spans="1:19">
      <c r="A299" s="176"/>
      <c r="B299" s="166"/>
      <c r="C299" s="166"/>
      <c r="D299" s="175"/>
      <c r="G299" s="170"/>
      <c r="H299" s="238"/>
      <c r="I299" s="175"/>
      <c r="J299" s="175"/>
      <c r="K299" s="170"/>
      <c r="L299" s="185"/>
      <c r="M299" s="170"/>
      <c r="N299" s="170"/>
      <c r="O299" s="173"/>
      <c r="P299" s="170"/>
      <c r="Q299" s="170"/>
      <c r="R299" s="170"/>
      <c r="S299" s="170"/>
    </row>
    <row r="300" spans="1:19" ht="15.75" thickBot="1">
      <c r="A300" s="176">
        <v>36</v>
      </c>
      <c r="B300" s="166" t="s">
        <v>1370</v>
      </c>
      <c r="C300" s="166" t="s">
        <v>1371</v>
      </c>
      <c r="D300" s="175" t="s">
        <v>1131</v>
      </c>
      <c r="G300" s="170"/>
      <c r="H300" s="208">
        <v>36</v>
      </c>
      <c r="I300" s="210"/>
      <c r="J300" s="220"/>
      <c r="K300" s="265" t="s">
        <v>1371</v>
      </c>
      <c r="L300" s="220"/>
      <c r="M300" s="220"/>
      <c r="N300" s="220"/>
      <c r="O300" s="230" t="s">
        <v>1131</v>
      </c>
      <c r="P300" s="170"/>
      <c r="Q300" s="184">
        <f t="shared" ref="Q300:Q303" si="42">H300</f>
        <v>36</v>
      </c>
      <c r="R300" s="175" t="str">
        <f t="shared" ref="R300:R303" si="43">CONCATENATE("II-",TEXT(Q300,"0000"))</f>
        <v>II-0036</v>
      </c>
      <c r="S300" s="185" t="str">
        <f t="shared" ref="S300:S303" si="44">K300</f>
        <v>ENROCADOS</v>
      </c>
    </row>
    <row r="301" spans="1:19" ht="16.5" thickTop="1" thickBot="1">
      <c r="A301" s="176">
        <v>37</v>
      </c>
      <c r="B301" s="166" t="s">
        <v>1372</v>
      </c>
      <c r="C301" s="166" t="s">
        <v>1373</v>
      </c>
      <c r="D301" s="175" t="s">
        <v>1214</v>
      </c>
      <c r="G301" s="170"/>
      <c r="H301" s="253">
        <v>37</v>
      </c>
      <c r="I301" s="209"/>
      <c r="J301" s="258"/>
      <c r="K301" s="259" t="s">
        <v>1373</v>
      </c>
      <c r="L301" s="258"/>
      <c r="M301" s="258"/>
      <c r="N301" s="258"/>
      <c r="O301" s="211" t="s">
        <v>1214</v>
      </c>
      <c r="P301" s="170"/>
      <c r="Q301" s="184">
        <f t="shared" si="42"/>
        <v>37</v>
      </c>
      <c r="R301" s="175" t="str">
        <f t="shared" si="43"/>
        <v>II-0037</v>
      </c>
      <c r="S301" s="185" t="str">
        <f t="shared" si="44"/>
        <v>ENRIPIADO</v>
      </c>
    </row>
    <row r="302" spans="1:19" ht="16.5" thickTop="1" thickBot="1">
      <c r="A302" s="176">
        <v>38</v>
      </c>
      <c r="B302" s="166" t="s">
        <v>1374</v>
      </c>
      <c r="C302" s="166" t="s">
        <v>1375</v>
      </c>
      <c r="D302" s="175" t="s">
        <v>1214</v>
      </c>
      <c r="G302" s="170"/>
      <c r="H302" s="253">
        <v>38</v>
      </c>
      <c r="I302" s="209"/>
      <c r="J302" s="258"/>
      <c r="K302" s="259" t="s">
        <v>1375</v>
      </c>
      <c r="L302" s="258"/>
      <c r="M302" s="258"/>
      <c r="N302" s="258"/>
      <c r="O302" s="211" t="s">
        <v>1214</v>
      </c>
      <c r="P302" s="170"/>
      <c r="Q302" s="184">
        <f t="shared" si="42"/>
        <v>38</v>
      </c>
      <c r="R302" s="175" t="str">
        <f t="shared" si="43"/>
        <v>II-0038</v>
      </c>
      <c r="S302" s="185" t="str">
        <f t="shared" si="44"/>
        <v>ESCARIFICADO</v>
      </c>
    </row>
    <row r="303" spans="1:19" ht="15.75" thickTop="1">
      <c r="A303" s="176">
        <v>39</v>
      </c>
      <c r="B303" s="166" t="s">
        <v>1376</v>
      </c>
      <c r="C303" s="166" t="s">
        <v>1377</v>
      </c>
      <c r="D303" s="175"/>
      <c r="G303" s="170"/>
      <c r="H303" s="253">
        <v>39</v>
      </c>
      <c r="I303" s="209"/>
      <c r="J303" s="258"/>
      <c r="K303" s="259" t="s">
        <v>1377</v>
      </c>
      <c r="L303" s="258"/>
      <c r="M303" s="258"/>
      <c r="N303" s="258"/>
      <c r="O303" s="211"/>
      <c r="P303" s="170"/>
      <c r="Q303" s="184">
        <f t="shared" si="42"/>
        <v>39</v>
      </c>
      <c r="R303" s="175" t="str">
        <f t="shared" si="43"/>
        <v>II-0039</v>
      </c>
      <c r="S303" s="185" t="str">
        <f t="shared" si="44"/>
        <v>EXCAVACIONES</v>
      </c>
    </row>
    <row r="304" spans="1:19">
      <c r="A304" s="176"/>
      <c r="B304" s="166"/>
      <c r="C304" s="166"/>
      <c r="D304" s="175" t="s">
        <v>1131</v>
      </c>
      <c r="G304" s="170"/>
      <c r="H304" s="186"/>
      <c r="I304" s="187" t="s">
        <v>1020</v>
      </c>
      <c r="J304" s="228"/>
      <c r="K304" s="245" t="s">
        <v>1378</v>
      </c>
      <c r="L304" s="245"/>
      <c r="M304" s="245"/>
      <c r="N304" s="245"/>
      <c r="O304" s="244" t="s">
        <v>1131</v>
      </c>
      <c r="P304" s="170"/>
      <c r="Q304" s="170"/>
      <c r="R304" s="170"/>
      <c r="S304" s="170"/>
    </row>
    <row r="305" spans="1:19">
      <c r="A305" s="176"/>
      <c r="B305" s="166"/>
      <c r="C305" s="166"/>
      <c r="D305" s="175" t="s">
        <v>1131</v>
      </c>
      <c r="G305" s="170"/>
      <c r="H305" s="186"/>
      <c r="I305" s="187" t="s">
        <v>1047</v>
      </c>
      <c r="J305" s="228"/>
      <c r="K305" s="245" t="s">
        <v>1379</v>
      </c>
      <c r="L305" s="245"/>
      <c r="M305" s="245"/>
      <c r="N305" s="245"/>
      <c r="O305" s="244" t="s">
        <v>1131</v>
      </c>
      <c r="P305" s="170"/>
      <c r="Q305" s="170"/>
      <c r="R305" s="170"/>
      <c r="S305" s="170"/>
    </row>
    <row r="306" spans="1:19">
      <c r="A306" s="176"/>
      <c r="B306" s="166"/>
      <c r="C306" s="166"/>
      <c r="D306" s="175" t="s">
        <v>1131</v>
      </c>
      <c r="G306" s="170"/>
      <c r="H306" s="186"/>
      <c r="I306" s="187" t="s">
        <v>1057</v>
      </c>
      <c r="J306" s="228"/>
      <c r="K306" s="245" t="s">
        <v>1380</v>
      </c>
      <c r="L306" s="245"/>
      <c r="M306" s="245"/>
      <c r="N306" s="245"/>
      <c r="O306" s="244" t="s">
        <v>1131</v>
      </c>
      <c r="P306" s="170"/>
      <c r="Q306" s="170"/>
      <c r="R306" s="170"/>
      <c r="S306" s="170"/>
    </row>
    <row r="307" spans="1:19">
      <c r="A307" s="176"/>
      <c r="B307" s="166"/>
      <c r="C307" s="166"/>
      <c r="D307" s="175" t="s">
        <v>1131</v>
      </c>
      <c r="G307" s="170"/>
      <c r="H307" s="186"/>
      <c r="I307" s="187" t="s">
        <v>1083</v>
      </c>
      <c r="J307" s="228"/>
      <c r="K307" s="245" t="s">
        <v>1381</v>
      </c>
      <c r="L307" s="245"/>
      <c r="M307" s="245"/>
      <c r="N307" s="245"/>
      <c r="O307" s="244" t="s">
        <v>1131</v>
      </c>
      <c r="P307" s="170"/>
      <c r="Q307" s="170"/>
      <c r="R307" s="170"/>
      <c r="S307" s="170"/>
    </row>
    <row r="308" spans="1:19">
      <c r="A308" s="176"/>
      <c r="B308" s="166"/>
      <c r="C308" s="166"/>
      <c r="D308" s="175" t="s">
        <v>1131</v>
      </c>
      <c r="G308" s="170"/>
      <c r="H308" s="186"/>
      <c r="I308" s="187" t="s">
        <v>1125</v>
      </c>
      <c r="J308" s="228"/>
      <c r="K308" s="245" t="s">
        <v>1382</v>
      </c>
      <c r="L308" s="245"/>
      <c r="M308" s="245"/>
      <c r="N308" s="245"/>
      <c r="O308" s="244" t="s">
        <v>1131</v>
      </c>
      <c r="P308" s="170"/>
      <c r="Q308" s="170"/>
      <c r="R308" s="170"/>
      <c r="S308" s="170"/>
    </row>
    <row r="309" spans="1:19">
      <c r="A309" s="176"/>
      <c r="B309" s="166"/>
      <c r="C309" s="166"/>
      <c r="D309" s="175" t="s">
        <v>1131</v>
      </c>
      <c r="G309" s="170"/>
      <c r="H309" s="186"/>
      <c r="I309" s="187" t="s">
        <v>1128</v>
      </c>
      <c r="J309" s="228"/>
      <c r="K309" s="245" t="s">
        <v>1383</v>
      </c>
      <c r="L309" s="245"/>
      <c r="M309" s="245"/>
      <c r="N309" s="245"/>
      <c r="O309" s="244" t="s">
        <v>1131</v>
      </c>
      <c r="P309" s="170"/>
      <c r="Q309" s="170"/>
      <c r="R309" s="170"/>
      <c r="S309" s="170"/>
    </row>
    <row r="310" spans="1:19">
      <c r="A310" s="176"/>
      <c r="B310" s="166"/>
      <c r="C310" s="166"/>
      <c r="D310" s="175" t="s">
        <v>1131</v>
      </c>
      <c r="G310" s="170"/>
      <c r="H310" s="186"/>
      <c r="I310" s="187" t="s">
        <v>1132</v>
      </c>
      <c r="J310" s="228"/>
      <c r="K310" s="245" t="s">
        <v>1384</v>
      </c>
      <c r="L310" s="245"/>
      <c r="M310" s="245"/>
      <c r="N310" s="245"/>
      <c r="O310" s="244" t="s">
        <v>1131</v>
      </c>
      <c r="P310" s="170"/>
      <c r="Q310" s="170"/>
      <c r="R310" s="170"/>
      <c r="S310" s="170"/>
    </row>
    <row r="311" spans="1:19">
      <c r="A311" s="176"/>
      <c r="B311" s="166"/>
      <c r="C311" s="166"/>
      <c r="D311" s="175" t="s">
        <v>1131</v>
      </c>
      <c r="G311" s="170"/>
      <c r="H311" s="186"/>
      <c r="I311" s="187" t="s">
        <v>1135</v>
      </c>
      <c r="J311" s="228"/>
      <c r="K311" s="245" t="s">
        <v>1385</v>
      </c>
      <c r="L311" s="245"/>
      <c r="M311" s="245"/>
      <c r="N311" s="245"/>
      <c r="O311" s="244" t="s">
        <v>1131</v>
      </c>
      <c r="P311" s="170"/>
      <c r="Q311" s="170"/>
      <c r="R311" s="170"/>
      <c r="S311" s="170"/>
    </row>
    <row r="312" spans="1:19">
      <c r="A312" s="176"/>
      <c r="B312" s="166"/>
      <c r="C312" s="166"/>
      <c r="D312" s="175" t="s">
        <v>1131</v>
      </c>
      <c r="G312" s="170"/>
      <c r="H312" s="186"/>
      <c r="I312" s="187" t="s">
        <v>888</v>
      </c>
      <c r="J312" s="228"/>
      <c r="K312" s="245" t="s">
        <v>1386</v>
      </c>
      <c r="L312" s="245"/>
      <c r="M312" s="245"/>
      <c r="N312" s="245"/>
      <c r="O312" s="244" t="s">
        <v>1131</v>
      </c>
      <c r="P312" s="170"/>
      <c r="Q312" s="170"/>
      <c r="R312" s="170"/>
      <c r="S312" s="170"/>
    </row>
    <row r="313" spans="1:19" ht="15.75" thickBot="1">
      <c r="A313" s="176"/>
      <c r="B313" s="166"/>
      <c r="C313" s="166"/>
      <c r="D313" s="175" t="s">
        <v>1131</v>
      </c>
      <c r="G313" s="170"/>
      <c r="H313" s="201"/>
      <c r="I313" s="213" t="s">
        <v>1140</v>
      </c>
      <c r="J313" s="216"/>
      <c r="K313" s="247" t="s">
        <v>1387</v>
      </c>
      <c r="L313" s="247"/>
      <c r="M313" s="247"/>
      <c r="N313" s="247"/>
      <c r="O313" s="248" t="s">
        <v>1131</v>
      </c>
      <c r="P313" s="170"/>
      <c r="Q313" s="170"/>
      <c r="R313" s="170"/>
      <c r="S313" s="170"/>
    </row>
    <row r="314" spans="1:19" ht="15.75" thickTop="1">
      <c r="A314" s="176">
        <v>40</v>
      </c>
      <c r="B314" s="166" t="s">
        <v>1388</v>
      </c>
      <c r="C314" s="166" t="s">
        <v>1284</v>
      </c>
      <c r="D314" s="175"/>
      <c r="G314" s="170"/>
      <c r="H314" s="208">
        <v>40</v>
      </c>
      <c r="I314" s="210"/>
      <c r="J314" s="220"/>
      <c r="K314" s="265" t="s">
        <v>1284</v>
      </c>
      <c r="L314" s="220"/>
      <c r="M314" s="220"/>
      <c r="N314" s="220"/>
      <c r="O314" s="230"/>
      <c r="P314" s="170"/>
      <c r="Q314" s="184">
        <f>H314</f>
        <v>40</v>
      </c>
      <c r="R314" s="175" t="str">
        <f>CONCATENATE("II-",TEXT(Q314,"0000"))</f>
        <v>II-0040</v>
      </c>
      <c r="S314" s="185" t="str">
        <f>K314</f>
        <v>FRESADO</v>
      </c>
    </row>
    <row r="315" spans="1:19" ht="15.75" thickBot="1">
      <c r="A315" s="176"/>
      <c r="B315" s="166"/>
      <c r="C315" s="166"/>
      <c r="D315" s="175" t="s">
        <v>1214</v>
      </c>
      <c r="G315" s="170"/>
      <c r="H315" s="186"/>
      <c r="I315" s="213" t="s">
        <v>1020</v>
      </c>
      <c r="J315" s="170"/>
      <c r="K315" s="185" t="s">
        <v>1389</v>
      </c>
      <c r="L315" s="170"/>
      <c r="M315" s="170"/>
      <c r="N315" s="170"/>
      <c r="O315" s="222" t="s">
        <v>1214</v>
      </c>
      <c r="P315" s="170"/>
      <c r="Q315" s="170"/>
      <c r="R315" s="170"/>
      <c r="S315" s="170"/>
    </row>
    <row r="316" spans="1:19" ht="15.75" thickTop="1">
      <c r="A316" s="176">
        <v>41</v>
      </c>
      <c r="B316" s="166" t="s">
        <v>1390</v>
      </c>
      <c r="C316" s="166" t="s">
        <v>1391</v>
      </c>
      <c r="D316" s="175"/>
      <c r="G316" s="170"/>
      <c r="H316" s="253">
        <v>41</v>
      </c>
      <c r="I316" s="209"/>
      <c r="J316" s="258"/>
      <c r="K316" s="259" t="s">
        <v>1391</v>
      </c>
      <c r="L316" s="259"/>
      <c r="M316" s="258"/>
      <c r="N316" s="258"/>
      <c r="O316" s="211"/>
      <c r="P316" s="170"/>
      <c r="Q316" s="184">
        <f>H316</f>
        <v>41</v>
      </c>
      <c r="R316" s="175" t="str">
        <f>CONCATENATE("II-",TEXT(Q316,"0000"))</f>
        <v>II-0041</v>
      </c>
      <c r="S316" s="185" t="str">
        <f>K316</f>
        <v>GAVIONES (PIEDRA EMBOLSADA)</v>
      </c>
    </row>
    <row r="317" spans="1:19">
      <c r="A317" s="176"/>
      <c r="B317" s="166"/>
      <c r="C317" s="166"/>
      <c r="D317" s="175"/>
      <c r="G317" s="170"/>
      <c r="H317" s="186"/>
      <c r="I317" s="187" t="s">
        <v>1020</v>
      </c>
      <c r="J317" s="175"/>
      <c r="K317" s="185" t="s">
        <v>1300</v>
      </c>
      <c r="L317" s="170"/>
      <c r="M317" s="170"/>
      <c r="N317" s="170"/>
      <c r="O317" s="222"/>
      <c r="P317" s="170"/>
      <c r="Q317" s="170"/>
      <c r="R317" s="170"/>
      <c r="S317" s="170"/>
    </row>
    <row r="318" spans="1:19">
      <c r="A318" s="176"/>
      <c r="B318" s="166"/>
      <c r="C318" s="166"/>
      <c r="D318" s="175" t="s">
        <v>1131</v>
      </c>
      <c r="G318" s="170"/>
      <c r="H318" s="186"/>
      <c r="I318" s="175"/>
      <c r="J318" s="192">
        <v>1</v>
      </c>
      <c r="K318" s="170"/>
      <c r="L318" s="185" t="s">
        <v>1392</v>
      </c>
      <c r="M318" s="170"/>
      <c r="N318" s="170"/>
      <c r="O318" s="222" t="s">
        <v>1131</v>
      </c>
      <c r="P318" s="170"/>
      <c r="Q318" s="170"/>
      <c r="R318" s="170"/>
      <c r="S318" s="170"/>
    </row>
    <row r="319" spans="1:19">
      <c r="A319" s="176"/>
      <c r="B319" s="166"/>
      <c r="C319" s="166"/>
      <c r="D319" s="175" t="s">
        <v>1131</v>
      </c>
      <c r="G319" s="170"/>
      <c r="H319" s="186"/>
      <c r="I319" s="239"/>
      <c r="J319" s="195">
        <v>2</v>
      </c>
      <c r="K319" s="196"/>
      <c r="L319" s="197" t="s">
        <v>1393</v>
      </c>
      <c r="M319" s="196"/>
      <c r="N319" s="196"/>
      <c r="O319" s="240" t="s">
        <v>1131</v>
      </c>
      <c r="P319" s="170"/>
      <c r="Q319" s="170"/>
      <c r="R319" s="170"/>
      <c r="S319" s="170"/>
    </row>
    <row r="320" spans="1:19">
      <c r="A320" s="176"/>
      <c r="B320" s="166"/>
      <c r="C320" s="166"/>
      <c r="D320" s="175"/>
      <c r="G320" s="170"/>
      <c r="H320" s="186"/>
      <c r="I320" s="195" t="s">
        <v>1047</v>
      </c>
      <c r="J320" s="175"/>
      <c r="K320" s="185" t="s">
        <v>1299</v>
      </c>
      <c r="L320" s="170"/>
      <c r="M320" s="170"/>
      <c r="N320" s="170"/>
      <c r="O320" s="222"/>
      <c r="P320" s="170"/>
      <c r="Q320" s="170"/>
      <c r="R320" s="170"/>
      <c r="S320" s="170"/>
    </row>
    <row r="321" spans="1:19">
      <c r="A321" s="176"/>
      <c r="B321" s="166"/>
      <c r="C321" s="166"/>
      <c r="D321" s="175" t="s">
        <v>1131</v>
      </c>
      <c r="G321" s="170"/>
      <c r="H321" s="186"/>
      <c r="I321" s="175"/>
      <c r="J321" s="192">
        <v>1</v>
      </c>
      <c r="K321" s="170"/>
      <c r="L321" s="185" t="s">
        <v>1392</v>
      </c>
      <c r="M321" s="170"/>
      <c r="N321" s="170"/>
      <c r="O321" s="222" t="s">
        <v>1131</v>
      </c>
      <c r="P321" s="170"/>
      <c r="Q321" s="170"/>
      <c r="R321" s="170"/>
      <c r="S321" s="170"/>
    </row>
    <row r="322" spans="1:19">
      <c r="A322" s="176"/>
      <c r="B322" s="166"/>
      <c r="C322" s="166"/>
      <c r="D322" s="175" t="s">
        <v>1131</v>
      </c>
      <c r="G322" s="170"/>
      <c r="H322" s="186"/>
      <c r="I322" s="200"/>
      <c r="J322" s="195">
        <v>2</v>
      </c>
      <c r="K322" s="196"/>
      <c r="L322" s="197" t="s">
        <v>1393</v>
      </c>
      <c r="M322" s="196"/>
      <c r="N322" s="196"/>
      <c r="O322" s="240" t="s">
        <v>1131</v>
      </c>
      <c r="P322" s="170"/>
      <c r="Q322" s="170"/>
      <c r="R322" s="170"/>
      <c r="S322" s="170"/>
    </row>
    <row r="323" spans="1:19">
      <c r="A323" s="176"/>
      <c r="B323" s="166"/>
      <c r="C323" s="166"/>
      <c r="D323" s="175" t="s">
        <v>1131</v>
      </c>
      <c r="G323" s="170"/>
      <c r="H323" s="186"/>
      <c r="I323" s="187" t="s">
        <v>1057</v>
      </c>
      <c r="J323" s="228"/>
      <c r="K323" s="245" t="s">
        <v>1089</v>
      </c>
      <c r="L323" s="245"/>
      <c r="M323" s="228"/>
      <c r="N323" s="228"/>
      <c r="O323" s="244" t="s">
        <v>1131</v>
      </c>
      <c r="P323" s="170"/>
      <c r="Q323" s="170"/>
      <c r="R323" s="170"/>
      <c r="S323" s="170"/>
    </row>
    <row r="324" spans="1:19" ht="15.75" thickBot="1">
      <c r="A324" s="176"/>
      <c r="B324" s="166"/>
      <c r="C324" s="166"/>
      <c r="D324" s="175" t="s">
        <v>1131</v>
      </c>
      <c r="G324" s="170"/>
      <c r="H324" s="186"/>
      <c r="I324" s="192" t="s">
        <v>1083</v>
      </c>
      <c r="J324" s="170"/>
      <c r="K324" s="185" t="s">
        <v>1137</v>
      </c>
      <c r="L324" s="185"/>
      <c r="M324" s="170"/>
      <c r="N324" s="170"/>
      <c r="O324" s="222" t="s">
        <v>1131</v>
      </c>
      <c r="P324" s="170"/>
      <c r="Q324" s="170"/>
      <c r="R324" s="170"/>
      <c r="S324" s="170"/>
    </row>
    <row r="325" spans="1:19" ht="16.5" thickTop="1" thickBot="1">
      <c r="A325" s="176">
        <v>42</v>
      </c>
      <c r="B325" s="166" t="s">
        <v>1394</v>
      </c>
      <c r="C325" s="166" t="s">
        <v>1395</v>
      </c>
      <c r="D325" s="175" t="s">
        <v>4</v>
      </c>
      <c r="G325" s="170"/>
      <c r="H325" s="279">
        <v>42</v>
      </c>
      <c r="I325" s="280"/>
      <c r="J325" s="281"/>
      <c r="K325" s="282" t="s">
        <v>1395</v>
      </c>
      <c r="L325" s="282"/>
      <c r="M325" s="281"/>
      <c r="N325" s="281"/>
      <c r="O325" s="283" t="s">
        <v>4</v>
      </c>
      <c r="P325" s="170"/>
      <c r="Q325" s="184">
        <f t="shared" ref="Q325:Q326" si="45">H325</f>
        <v>42</v>
      </c>
      <c r="R325" s="175" t="str">
        <f t="shared" ref="R325:R326" si="46">CONCATENATE("II-",TEXT(Q325,"0000"))</f>
        <v>II-0042</v>
      </c>
      <c r="S325" s="185" t="str">
        <f t="shared" ref="S325:S326" si="47">K325</f>
        <v>GUARDAGANADO</v>
      </c>
    </row>
    <row r="326" spans="1:19" ht="15.75" thickTop="1">
      <c r="A326" s="176">
        <v>43</v>
      </c>
      <c r="B326" s="166" t="s">
        <v>1396</v>
      </c>
      <c r="C326" s="166" t="s">
        <v>1397</v>
      </c>
      <c r="D326" s="175"/>
      <c r="G326" s="170"/>
      <c r="H326" s="208">
        <v>43</v>
      </c>
      <c r="I326" s="210"/>
      <c r="J326" s="220"/>
      <c r="K326" s="265" t="s">
        <v>1397</v>
      </c>
      <c r="L326" s="220"/>
      <c r="M326" s="220"/>
      <c r="N326" s="220"/>
      <c r="O326" s="230"/>
      <c r="P326" s="170"/>
      <c r="Q326" s="184">
        <f t="shared" si="45"/>
        <v>43</v>
      </c>
      <c r="R326" s="175" t="str">
        <f t="shared" si="46"/>
        <v>II-0043</v>
      </c>
      <c r="S326" s="185" t="str">
        <f t="shared" si="47"/>
        <v>HORMIGON CEMENTO PORTLAND EXCLUIDA LA ARAMDURA</v>
      </c>
    </row>
    <row r="327" spans="1:19">
      <c r="A327" s="176"/>
      <c r="B327" s="166"/>
      <c r="C327" s="166"/>
      <c r="D327" s="175"/>
      <c r="G327" s="170"/>
      <c r="H327" s="186"/>
      <c r="I327" s="187" t="s">
        <v>1020</v>
      </c>
      <c r="J327" s="175"/>
      <c r="K327" s="185" t="s">
        <v>1398</v>
      </c>
      <c r="L327" s="170"/>
      <c r="M327" s="170"/>
      <c r="N327" s="170"/>
      <c r="O327" s="222"/>
      <c r="P327" s="170"/>
      <c r="Q327" s="170"/>
      <c r="R327" s="170"/>
      <c r="S327" s="170"/>
    </row>
    <row r="328" spans="1:19">
      <c r="A328" s="176"/>
      <c r="B328" s="166"/>
      <c r="C328" s="166"/>
      <c r="D328" s="175" t="s">
        <v>1131</v>
      </c>
      <c r="G328" s="170"/>
      <c r="H328" s="186"/>
      <c r="I328" s="175"/>
      <c r="J328" s="192">
        <v>1</v>
      </c>
      <c r="K328" s="170"/>
      <c r="L328" s="185" t="s">
        <v>1399</v>
      </c>
      <c r="M328" s="170"/>
      <c r="N328" s="170"/>
      <c r="O328" s="222" t="s">
        <v>1131</v>
      </c>
      <c r="P328" s="170"/>
      <c r="Q328" s="170"/>
      <c r="R328" s="170"/>
      <c r="S328" s="170"/>
    </row>
    <row r="329" spans="1:19">
      <c r="A329" s="176"/>
      <c r="B329" s="166"/>
      <c r="C329" s="166"/>
      <c r="D329" s="175" t="s">
        <v>1131</v>
      </c>
      <c r="G329" s="170"/>
      <c r="H329" s="186"/>
      <c r="I329" s="175"/>
      <c r="J329" s="192">
        <v>2</v>
      </c>
      <c r="K329" s="170"/>
      <c r="L329" s="185" t="s">
        <v>1229</v>
      </c>
      <c r="M329" s="170"/>
      <c r="N329" s="170"/>
      <c r="O329" s="222" t="s">
        <v>1131</v>
      </c>
      <c r="P329" s="170"/>
      <c r="Q329" s="170"/>
      <c r="R329" s="170"/>
      <c r="S329" s="170"/>
    </row>
    <row r="330" spans="1:19">
      <c r="A330" s="176"/>
      <c r="B330" s="166"/>
      <c r="C330" s="166"/>
      <c r="D330" s="175" t="s">
        <v>1131</v>
      </c>
      <c r="G330" s="170"/>
      <c r="H330" s="186"/>
      <c r="I330" s="175"/>
      <c r="J330" s="192">
        <v>3</v>
      </c>
      <c r="K330" s="170"/>
      <c r="L330" s="185" t="s">
        <v>1400</v>
      </c>
      <c r="M330" s="170"/>
      <c r="N330" s="170"/>
      <c r="O330" s="222" t="s">
        <v>1131</v>
      </c>
      <c r="P330" s="170"/>
      <c r="Q330" s="170"/>
      <c r="R330" s="170"/>
      <c r="S330" s="170"/>
    </row>
    <row r="331" spans="1:19">
      <c r="A331" s="176"/>
      <c r="B331" s="166"/>
      <c r="C331" s="166"/>
      <c r="D331" s="175" t="s">
        <v>1131</v>
      </c>
      <c r="G331" s="170"/>
      <c r="H331" s="186"/>
      <c r="I331" s="175"/>
      <c r="J331" s="192">
        <v>4</v>
      </c>
      <c r="K331" s="170"/>
      <c r="L331" s="185" t="s">
        <v>1380</v>
      </c>
      <c r="M331" s="170"/>
      <c r="N331" s="170"/>
      <c r="O331" s="222" t="s">
        <v>1131</v>
      </c>
      <c r="P331" s="170"/>
      <c r="Q331" s="170"/>
      <c r="R331" s="170"/>
      <c r="S331" s="170"/>
    </row>
    <row r="332" spans="1:19">
      <c r="A332" s="176"/>
      <c r="B332" s="166"/>
      <c r="C332" s="166"/>
      <c r="D332" s="175" t="s">
        <v>1131</v>
      </c>
      <c r="G332" s="170"/>
      <c r="H332" s="186"/>
      <c r="I332" s="200"/>
      <c r="J332" s="195">
        <v>5</v>
      </c>
      <c r="K332" s="196"/>
      <c r="L332" s="197" t="s">
        <v>1401</v>
      </c>
      <c r="M332" s="196"/>
      <c r="N332" s="196"/>
      <c r="O332" s="240" t="s">
        <v>1131</v>
      </c>
      <c r="P332" s="170"/>
      <c r="Q332" s="170"/>
      <c r="R332" s="170"/>
      <c r="S332" s="170"/>
    </row>
    <row r="333" spans="1:19">
      <c r="A333" s="176"/>
      <c r="B333" s="166"/>
      <c r="C333" s="166"/>
      <c r="D333" s="175"/>
      <c r="G333" s="170"/>
      <c r="H333" s="186"/>
      <c r="I333" s="187" t="s">
        <v>1047</v>
      </c>
      <c r="J333" s="175"/>
      <c r="K333" s="185" t="s">
        <v>1402</v>
      </c>
      <c r="L333" s="170"/>
      <c r="M333" s="170"/>
      <c r="N333" s="170"/>
      <c r="O333" s="222"/>
      <c r="P333" s="170"/>
      <c r="Q333" s="170"/>
      <c r="R333" s="170"/>
      <c r="S333" s="170"/>
    </row>
    <row r="334" spans="1:19">
      <c r="A334" s="176"/>
      <c r="B334" s="166"/>
      <c r="C334" s="166"/>
      <c r="D334" s="175" t="s">
        <v>1131</v>
      </c>
      <c r="G334" s="170"/>
      <c r="H334" s="186"/>
      <c r="I334" s="175"/>
      <c r="J334" s="192">
        <v>1</v>
      </c>
      <c r="K334" s="170"/>
      <c r="L334" s="185" t="s">
        <v>1229</v>
      </c>
      <c r="M334" s="170"/>
      <c r="N334" s="170"/>
      <c r="O334" s="222" t="s">
        <v>1131</v>
      </c>
      <c r="P334" s="170"/>
      <c r="Q334" s="170"/>
      <c r="R334" s="170"/>
      <c r="S334" s="170"/>
    </row>
    <row r="335" spans="1:19">
      <c r="A335" s="176"/>
      <c r="B335" s="166"/>
      <c r="C335" s="166"/>
      <c r="D335" s="175" t="s">
        <v>1131</v>
      </c>
      <c r="G335" s="170"/>
      <c r="H335" s="186"/>
      <c r="I335" s="175"/>
      <c r="J335" s="192">
        <v>2</v>
      </c>
      <c r="K335" s="170"/>
      <c r="L335" s="185" t="s">
        <v>1403</v>
      </c>
      <c r="M335" s="170"/>
      <c r="N335" s="170"/>
      <c r="O335" s="222" t="s">
        <v>1131</v>
      </c>
      <c r="P335" s="170"/>
      <c r="Q335" s="170"/>
      <c r="R335" s="170"/>
      <c r="S335" s="170"/>
    </row>
    <row r="336" spans="1:19">
      <c r="A336" s="176"/>
      <c r="B336" s="166"/>
      <c r="C336" s="166"/>
      <c r="D336" s="175" t="s">
        <v>1131</v>
      </c>
      <c r="G336" s="170"/>
      <c r="H336" s="186"/>
      <c r="I336" s="175"/>
      <c r="J336" s="192">
        <v>3</v>
      </c>
      <c r="K336" s="170"/>
      <c r="L336" s="185" t="s">
        <v>1404</v>
      </c>
      <c r="M336" s="170"/>
      <c r="N336" s="170"/>
      <c r="O336" s="222" t="s">
        <v>1131</v>
      </c>
      <c r="P336" s="170"/>
      <c r="Q336" s="170"/>
      <c r="R336" s="170"/>
      <c r="S336" s="170"/>
    </row>
    <row r="337" spans="1:19">
      <c r="A337" s="176"/>
      <c r="B337" s="166"/>
      <c r="C337" s="166"/>
      <c r="D337" s="175" t="s">
        <v>1131</v>
      </c>
      <c r="G337" s="170"/>
      <c r="H337" s="186"/>
      <c r="I337" s="175"/>
      <c r="J337" s="192">
        <v>4</v>
      </c>
      <c r="K337" s="170"/>
      <c r="L337" s="185" t="s">
        <v>1405</v>
      </c>
      <c r="M337" s="170"/>
      <c r="N337" s="170"/>
      <c r="O337" s="222" t="s">
        <v>1131</v>
      </c>
      <c r="P337" s="170"/>
      <c r="Q337" s="170"/>
      <c r="R337" s="170"/>
      <c r="S337" s="170"/>
    </row>
    <row r="338" spans="1:19">
      <c r="A338" s="176"/>
      <c r="B338" s="166"/>
      <c r="C338" s="166"/>
      <c r="D338" s="175" t="s">
        <v>1131</v>
      </c>
      <c r="G338" s="170"/>
      <c r="H338" s="186"/>
      <c r="I338" s="175"/>
      <c r="J338" s="192">
        <v>5</v>
      </c>
      <c r="K338" s="170"/>
      <c r="L338" s="185" t="s">
        <v>1406</v>
      </c>
      <c r="M338" s="170"/>
      <c r="N338" s="170"/>
      <c r="O338" s="222" t="s">
        <v>1131</v>
      </c>
      <c r="P338" s="170"/>
      <c r="Q338" s="170"/>
      <c r="R338" s="170"/>
      <c r="S338" s="170"/>
    </row>
    <row r="339" spans="1:19">
      <c r="A339" s="176"/>
      <c r="B339" s="166"/>
      <c r="C339" s="166"/>
      <c r="D339" s="175" t="s">
        <v>1131</v>
      </c>
      <c r="G339" s="170"/>
      <c r="H339" s="186"/>
      <c r="I339" s="239"/>
      <c r="J339" s="175">
        <v>6</v>
      </c>
      <c r="K339" s="185"/>
      <c r="L339" s="170" t="s">
        <v>1401</v>
      </c>
      <c r="M339" s="170"/>
      <c r="N339" s="170"/>
      <c r="O339" s="222" t="s">
        <v>1131</v>
      </c>
      <c r="P339" s="170"/>
      <c r="Q339" s="170"/>
      <c r="R339" s="170"/>
      <c r="S339" s="170"/>
    </row>
    <row r="340" spans="1:19">
      <c r="A340" s="176"/>
      <c r="B340" s="166"/>
      <c r="C340" s="166"/>
      <c r="D340" s="175"/>
      <c r="G340" s="170"/>
      <c r="H340" s="186"/>
      <c r="I340" s="195" t="s">
        <v>1057</v>
      </c>
      <c r="J340" s="175"/>
      <c r="K340" s="185" t="s">
        <v>1407</v>
      </c>
      <c r="L340" s="170"/>
      <c r="M340" s="170"/>
      <c r="N340" s="170"/>
      <c r="O340" s="222"/>
      <c r="P340" s="170"/>
      <c r="Q340" s="170"/>
      <c r="R340" s="170"/>
      <c r="S340" s="170"/>
    </row>
    <row r="341" spans="1:19">
      <c r="A341" s="176"/>
      <c r="B341" s="166"/>
      <c r="C341" s="166"/>
      <c r="D341" s="175" t="s">
        <v>1131</v>
      </c>
      <c r="G341" s="170"/>
      <c r="H341" s="186"/>
      <c r="I341" s="175"/>
      <c r="J341" s="192">
        <v>1</v>
      </c>
      <c r="K341" s="170"/>
      <c r="L341" s="185" t="s">
        <v>1408</v>
      </c>
      <c r="M341" s="170"/>
      <c r="N341" s="170"/>
      <c r="O341" s="222" t="s">
        <v>1131</v>
      </c>
      <c r="P341" s="170"/>
      <c r="Q341" s="170"/>
      <c r="R341" s="170"/>
      <c r="S341" s="170"/>
    </row>
    <row r="342" spans="1:19">
      <c r="A342" s="176"/>
      <c r="B342" s="166"/>
      <c r="C342" s="166"/>
      <c r="D342" s="175" t="s">
        <v>1131</v>
      </c>
      <c r="G342" s="170"/>
      <c r="H342" s="186"/>
      <c r="I342" s="175"/>
      <c r="J342" s="192">
        <v>2</v>
      </c>
      <c r="K342" s="170"/>
      <c r="L342" s="185" t="s">
        <v>1229</v>
      </c>
      <c r="M342" s="170"/>
      <c r="N342" s="170"/>
      <c r="O342" s="222" t="s">
        <v>1131</v>
      </c>
      <c r="P342" s="170"/>
      <c r="Q342" s="170"/>
      <c r="R342" s="170"/>
      <c r="S342" s="170"/>
    </row>
    <row r="343" spans="1:19">
      <c r="A343" s="176"/>
      <c r="B343" s="166"/>
      <c r="C343" s="166"/>
      <c r="D343" s="175" t="s">
        <v>1131</v>
      </c>
      <c r="G343" s="170"/>
      <c r="H343" s="186"/>
      <c r="I343" s="175"/>
      <c r="J343" s="192">
        <v>3</v>
      </c>
      <c r="K343" s="170"/>
      <c r="L343" s="185" t="s">
        <v>1409</v>
      </c>
      <c r="M343" s="170"/>
      <c r="N343" s="170"/>
      <c r="O343" s="222" t="s">
        <v>1131</v>
      </c>
      <c r="P343" s="170"/>
      <c r="Q343" s="170"/>
      <c r="R343" s="170"/>
      <c r="S343" s="170"/>
    </row>
    <row r="344" spans="1:19">
      <c r="A344" s="176"/>
      <c r="B344" s="166"/>
      <c r="C344" s="166"/>
      <c r="D344" s="175" t="s">
        <v>1131</v>
      </c>
      <c r="G344" s="170"/>
      <c r="H344" s="186"/>
      <c r="I344" s="175"/>
      <c r="J344" s="192">
        <v>4</v>
      </c>
      <c r="K344" s="170"/>
      <c r="L344" s="185" t="s">
        <v>1403</v>
      </c>
      <c r="M344" s="170"/>
      <c r="N344" s="170"/>
      <c r="O344" s="222" t="s">
        <v>1131</v>
      </c>
      <c r="P344" s="170"/>
      <c r="Q344" s="170"/>
      <c r="R344" s="170"/>
      <c r="S344" s="170"/>
    </row>
    <row r="345" spans="1:19">
      <c r="A345" s="176"/>
      <c r="B345" s="166"/>
      <c r="C345" s="166"/>
      <c r="D345" s="175" t="s">
        <v>1131</v>
      </c>
      <c r="G345" s="170"/>
      <c r="H345" s="186"/>
      <c r="I345" s="175"/>
      <c r="J345" s="192">
        <v>5</v>
      </c>
      <c r="K345" s="170"/>
      <c r="L345" s="185" t="s">
        <v>1340</v>
      </c>
      <c r="M345" s="170"/>
      <c r="N345" s="170"/>
      <c r="O345" s="222" t="s">
        <v>1131</v>
      </c>
      <c r="P345" s="170"/>
      <c r="Q345" s="170"/>
      <c r="R345" s="170"/>
      <c r="S345" s="170"/>
    </row>
    <row r="346" spans="1:19">
      <c r="A346" s="176"/>
      <c r="B346" s="166"/>
      <c r="C346" s="166"/>
      <c r="D346" s="175" t="s">
        <v>1131</v>
      </c>
      <c r="G346" s="170"/>
      <c r="H346" s="186"/>
      <c r="I346" s="175"/>
      <c r="J346" s="192">
        <v>6</v>
      </c>
      <c r="K346" s="170"/>
      <c r="L346" s="185" t="s">
        <v>1405</v>
      </c>
      <c r="M346" s="170"/>
      <c r="N346" s="170"/>
      <c r="O346" s="222" t="s">
        <v>1131</v>
      </c>
      <c r="P346" s="170"/>
      <c r="Q346" s="170"/>
      <c r="R346" s="170"/>
      <c r="S346" s="170"/>
    </row>
    <row r="347" spans="1:19">
      <c r="A347" s="176"/>
      <c r="B347" s="166"/>
      <c r="C347" s="166"/>
      <c r="D347" s="175" t="s">
        <v>1131</v>
      </c>
      <c r="G347" s="170"/>
      <c r="H347" s="186"/>
      <c r="I347" s="175"/>
      <c r="J347" s="192">
        <v>7</v>
      </c>
      <c r="K347" s="170"/>
      <c r="L347" s="185" t="s">
        <v>1406</v>
      </c>
      <c r="M347" s="170"/>
      <c r="N347" s="170"/>
      <c r="O347" s="222" t="s">
        <v>1131</v>
      </c>
      <c r="P347" s="170"/>
      <c r="Q347" s="170"/>
      <c r="R347" s="170"/>
      <c r="S347" s="170"/>
    </row>
    <row r="348" spans="1:19">
      <c r="A348" s="176"/>
      <c r="B348" s="166"/>
      <c r="C348" s="166"/>
      <c r="D348" s="175" t="s">
        <v>1131</v>
      </c>
      <c r="G348" s="170"/>
      <c r="H348" s="186"/>
      <c r="I348" s="239"/>
      <c r="J348" s="195">
        <v>8</v>
      </c>
      <c r="K348" s="196"/>
      <c r="L348" s="197" t="s">
        <v>1401</v>
      </c>
      <c r="M348" s="196"/>
      <c r="N348" s="196"/>
      <c r="O348" s="240" t="s">
        <v>1131</v>
      </c>
      <c r="P348" s="170"/>
      <c r="Q348" s="170"/>
      <c r="R348" s="170"/>
      <c r="S348" s="170"/>
    </row>
    <row r="349" spans="1:19">
      <c r="A349" s="176"/>
      <c r="B349" s="166"/>
      <c r="C349" s="166"/>
      <c r="D349" s="175"/>
      <c r="G349" s="170"/>
      <c r="H349" s="186"/>
      <c r="I349" s="195" t="s">
        <v>1083</v>
      </c>
      <c r="J349" s="175"/>
      <c r="K349" s="185" t="s">
        <v>1410</v>
      </c>
      <c r="L349" s="170"/>
      <c r="M349" s="170"/>
      <c r="N349" s="170"/>
      <c r="O349" s="222"/>
      <c r="P349" s="170"/>
      <c r="Q349" s="170"/>
      <c r="R349" s="170"/>
      <c r="S349" s="170"/>
    </row>
    <row r="350" spans="1:19">
      <c r="A350" s="176"/>
      <c r="B350" s="166"/>
      <c r="C350" s="166"/>
      <c r="D350" s="175" t="s">
        <v>1131</v>
      </c>
      <c r="G350" s="170"/>
      <c r="H350" s="186"/>
      <c r="I350" s="175"/>
      <c r="J350" s="192">
        <v>1</v>
      </c>
      <c r="K350" s="170"/>
      <c r="L350" s="185" t="s">
        <v>1408</v>
      </c>
      <c r="M350" s="170"/>
      <c r="N350" s="170"/>
      <c r="O350" s="222" t="s">
        <v>1131</v>
      </c>
      <c r="P350" s="170"/>
      <c r="Q350" s="170"/>
      <c r="R350" s="170"/>
      <c r="S350" s="170"/>
    </row>
    <row r="351" spans="1:19">
      <c r="A351" s="176"/>
      <c r="B351" s="166"/>
      <c r="C351" s="166"/>
      <c r="D351" s="175" t="s">
        <v>1131</v>
      </c>
      <c r="G351" s="170"/>
      <c r="H351" s="186"/>
      <c r="I351" s="175"/>
      <c r="J351" s="192">
        <v>2</v>
      </c>
      <c r="K351" s="170"/>
      <c r="L351" s="185" t="s">
        <v>1229</v>
      </c>
      <c r="M351" s="170"/>
      <c r="N351" s="170"/>
      <c r="O351" s="222" t="s">
        <v>1131</v>
      </c>
      <c r="P351" s="170"/>
      <c r="Q351" s="170"/>
      <c r="R351" s="170"/>
      <c r="S351" s="170"/>
    </row>
    <row r="352" spans="1:19">
      <c r="A352" s="176"/>
      <c r="B352" s="166"/>
      <c r="C352" s="166"/>
      <c r="D352" s="175" t="s">
        <v>1131</v>
      </c>
      <c r="G352" s="170"/>
      <c r="H352" s="186"/>
      <c r="I352" s="175"/>
      <c r="J352" s="192">
        <v>3</v>
      </c>
      <c r="K352" s="170"/>
      <c r="L352" s="185" t="s">
        <v>1411</v>
      </c>
      <c r="M352" s="170"/>
      <c r="N352" s="170"/>
      <c r="O352" s="222" t="s">
        <v>1131</v>
      </c>
      <c r="P352" s="170"/>
      <c r="Q352" s="170"/>
      <c r="R352" s="170"/>
      <c r="S352" s="170"/>
    </row>
    <row r="353" spans="1:19">
      <c r="A353" s="176"/>
      <c r="B353" s="166"/>
      <c r="C353" s="166"/>
      <c r="D353" s="175" t="s">
        <v>1131</v>
      </c>
      <c r="G353" s="170"/>
      <c r="H353" s="186"/>
      <c r="I353" s="175"/>
      <c r="J353" s="192">
        <v>4</v>
      </c>
      <c r="K353" s="170"/>
      <c r="L353" s="185" t="s">
        <v>1409</v>
      </c>
      <c r="M353" s="170"/>
      <c r="N353" s="170"/>
      <c r="O353" s="222" t="s">
        <v>1131</v>
      </c>
      <c r="P353" s="170"/>
      <c r="Q353" s="170"/>
      <c r="R353" s="170"/>
      <c r="S353" s="170"/>
    </row>
    <row r="354" spans="1:19">
      <c r="A354" s="176"/>
      <c r="B354" s="166"/>
      <c r="C354" s="166"/>
      <c r="D354" s="175" t="s">
        <v>1131</v>
      </c>
      <c r="G354" s="170"/>
      <c r="H354" s="186"/>
      <c r="I354" s="175"/>
      <c r="J354" s="192">
        <v>5</v>
      </c>
      <c r="K354" s="170"/>
      <c r="L354" s="185" t="s">
        <v>1340</v>
      </c>
      <c r="M354" s="170"/>
      <c r="N354" s="170"/>
      <c r="O354" s="222" t="s">
        <v>1131</v>
      </c>
      <c r="P354" s="170"/>
      <c r="Q354" s="170"/>
      <c r="R354" s="170"/>
      <c r="S354" s="170"/>
    </row>
    <row r="355" spans="1:19">
      <c r="A355" s="176"/>
      <c r="B355" s="166"/>
      <c r="C355" s="166"/>
      <c r="D355" s="175" t="s">
        <v>1131</v>
      </c>
      <c r="G355" s="170"/>
      <c r="H355" s="186"/>
      <c r="I355" s="175"/>
      <c r="J355" s="192">
        <v>6</v>
      </c>
      <c r="K355" s="170"/>
      <c r="L355" s="185" t="s">
        <v>1412</v>
      </c>
      <c r="M355" s="170"/>
      <c r="N355" s="170"/>
      <c r="O355" s="222" t="s">
        <v>1131</v>
      </c>
      <c r="P355" s="170"/>
      <c r="Q355" s="170"/>
      <c r="R355" s="170"/>
      <c r="S355" s="170"/>
    </row>
    <row r="356" spans="1:19">
      <c r="A356" s="176"/>
      <c r="B356" s="166"/>
      <c r="C356" s="166"/>
      <c r="D356" s="175" t="s">
        <v>1131</v>
      </c>
      <c r="G356" s="170"/>
      <c r="H356" s="186"/>
      <c r="I356" s="175"/>
      <c r="J356" s="192">
        <v>7</v>
      </c>
      <c r="K356" s="170"/>
      <c r="L356" s="185" t="s">
        <v>1413</v>
      </c>
      <c r="M356" s="170"/>
      <c r="N356" s="170"/>
      <c r="O356" s="222" t="s">
        <v>1131</v>
      </c>
      <c r="P356" s="170"/>
      <c r="Q356" s="170"/>
      <c r="R356" s="170"/>
      <c r="S356" s="170"/>
    </row>
    <row r="357" spans="1:19">
      <c r="A357" s="176"/>
      <c r="B357" s="166"/>
      <c r="C357" s="166"/>
      <c r="D357" s="175" t="s">
        <v>1131</v>
      </c>
      <c r="G357" s="170"/>
      <c r="H357" s="186"/>
      <c r="I357" s="175"/>
      <c r="J357" s="192">
        <v>8</v>
      </c>
      <c r="K357" s="170"/>
      <c r="L357" s="185" t="s">
        <v>1414</v>
      </c>
      <c r="M357" s="170"/>
      <c r="N357" s="170"/>
      <c r="O357" s="222" t="s">
        <v>1131</v>
      </c>
      <c r="P357" s="170"/>
      <c r="Q357" s="170"/>
      <c r="R357" s="170"/>
      <c r="S357" s="170"/>
    </row>
    <row r="358" spans="1:19">
      <c r="A358" s="176"/>
      <c r="B358" s="166"/>
      <c r="C358" s="166"/>
      <c r="D358" s="175" t="s">
        <v>1131</v>
      </c>
      <c r="G358" s="170"/>
      <c r="H358" s="186"/>
      <c r="I358" s="200"/>
      <c r="J358" s="195">
        <v>9</v>
      </c>
      <c r="K358" s="196"/>
      <c r="L358" s="197" t="s">
        <v>1401</v>
      </c>
      <c r="M358" s="196"/>
      <c r="N358" s="196"/>
      <c r="O358" s="240" t="s">
        <v>1131</v>
      </c>
      <c r="P358" s="170"/>
      <c r="Q358" s="170"/>
      <c r="R358" s="170"/>
      <c r="S358" s="170"/>
    </row>
    <row r="359" spans="1:19">
      <c r="A359" s="176"/>
      <c r="B359" s="166"/>
      <c r="C359" s="166"/>
      <c r="D359" s="175"/>
      <c r="G359" s="170"/>
      <c r="H359" s="186"/>
      <c r="I359" s="195" t="s">
        <v>1125</v>
      </c>
      <c r="J359" s="175"/>
      <c r="K359" s="185" t="s">
        <v>1415</v>
      </c>
      <c r="L359" s="170"/>
      <c r="M359" s="170"/>
      <c r="N359" s="170"/>
      <c r="O359" s="222"/>
      <c r="P359" s="170"/>
      <c r="Q359" s="170"/>
      <c r="R359" s="170"/>
      <c r="S359" s="170"/>
    </row>
    <row r="360" spans="1:19">
      <c r="A360" s="176"/>
      <c r="B360" s="166"/>
      <c r="C360" s="166"/>
      <c r="D360" s="175" t="s">
        <v>1131</v>
      </c>
      <c r="G360" s="170"/>
      <c r="H360" s="186"/>
      <c r="I360" s="175"/>
      <c r="J360" s="192">
        <v>1</v>
      </c>
      <c r="K360" s="170"/>
      <c r="L360" s="185" t="s">
        <v>1229</v>
      </c>
      <c r="M360" s="170"/>
      <c r="N360" s="170"/>
      <c r="O360" s="222" t="s">
        <v>1131</v>
      </c>
      <c r="P360" s="170"/>
      <c r="Q360" s="170"/>
      <c r="R360" s="170"/>
      <c r="S360" s="170"/>
    </row>
    <row r="361" spans="1:19">
      <c r="A361" s="176"/>
      <c r="B361" s="166"/>
      <c r="C361" s="166"/>
      <c r="D361" s="175" t="s">
        <v>1131</v>
      </c>
      <c r="G361" s="170"/>
      <c r="H361" s="186"/>
      <c r="I361" s="175"/>
      <c r="J361" s="192">
        <v>2</v>
      </c>
      <c r="K361" s="170"/>
      <c r="L361" s="185" t="s">
        <v>1416</v>
      </c>
      <c r="M361" s="170"/>
      <c r="N361" s="170"/>
      <c r="O361" s="222" t="s">
        <v>1131</v>
      </c>
      <c r="P361" s="170"/>
      <c r="Q361" s="170"/>
      <c r="R361" s="170"/>
      <c r="S361" s="170"/>
    </row>
    <row r="362" spans="1:19">
      <c r="A362" s="176"/>
      <c r="B362" s="166"/>
      <c r="C362" s="166"/>
      <c r="D362" s="175" t="s">
        <v>1131</v>
      </c>
      <c r="G362" s="170"/>
      <c r="H362" s="186"/>
      <c r="I362" s="175"/>
      <c r="J362" s="192">
        <v>3</v>
      </c>
      <c r="K362" s="170"/>
      <c r="L362" s="185" t="s">
        <v>1417</v>
      </c>
      <c r="M362" s="170"/>
      <c r="N362" s="170"/>
      <c r="O362" s="222" t="s">
        <v>1131</v>
      </c>
      <c r="P362" s="170"/>
      <c r="Q362" s="170"/>
      <c r="R362" s="170"/>
      <c r="S362" s="170"/>
    </row>
    <row r="363" spans="1:19">
      <c r="A363" s="176"/>
      <c r="B363" s="166"/>
      <c r="C363" s="166"/>
      <c r="D363" s="175" t="s">
        <v>1131</v>
      </c>
      <c r="G363" s="170"/>
      <c r="H363" s="186"/>
      <c r="I363" s="175"/>
      <c r="J363" s="192">
        <v>4</v>
      </c>
      <c r="K363" s="170"/>
      <c r="L363" s="185" t="s">
        <v>1418</v>
      </c>
      <c r="M363" s="170"/>
      <c r="N363" s="170"/>
      <c r="O363" s="222" t="s">
        <v>1131</v>
      </c>
      <c r="P363" s="170"/>
      <c r="Q363" s="170"/>
      <c r="R363" s="170"/>
      <c r="S363" s="170"/>
    </row>
    <row r="364" spans="1:19">
      <c r="A364" s="176"/>
      <c r="B364" s="166"/>
      <c r="C364" s="166"/>
      <c r="D364" s="175" t="s">
        <v>1131</v>
      </c>
      <c r="G364" s="170"/>
      <c r="H364" s="186"/>
      <c r="I364" s="175"/>
      <c r="J364" s="192">
        <v>5</v>
      </c>
      <c r="K364" s="170"/>
      <c r="L364" s="185" t="s">
        <v>1282</v>
      </c>
      <c r="M364" s="170"/>
      <c r="N364" s="170"/>
      <c r="O364" s="222" t="s">
        <v>1131</v>
      </c>
      <c r="P364" s="170"/>
      <c r="Q364" s="170"/>
      <c r="R364" s="170"/>
      <c r="S364" s="170"/>
    </row>
    <row r="365" spans="1:19">
      <c r="A365" s="176"/>
      <c r="B365" s="166"/>
      <c r="C365" s="166"/>
      <c r="D365" s="175" t="s">
        <v>1131</v>
      </c>
      <c r="G365" s="170"/>
      <c r="H365" s="186"/>
      <c r="I365" s="175"/>
      <c r="J365" s="192">
        <v>6</v>
      </c>
      <c r="K365" s="170"/>
      <c r="L365" s="185" t="s">
        <v>1419</v>
      </c>
      <c r="M365" s="170"/>
      <c r="N365" s="170"/>
      <c r="O365" s="222" t="s">
        <v>1131</v>
      </c>
      <c r="P365" s="170"/>
      <c r="Q365" s="170"/>
      <c r="R365" s="170"/>
      <c r="S365" s="170"/>
    </row>
    <row r="366" spans="1:19">
      <c r="A366" s="176"/>
      <c r="B366" s="166"/>
      <c r="C366" s="166"/>
      <c r="D366" s="175" t="s">
        <v>1131</v>
      </c>
      <c r="G366" s="170"/>
      <c r="H366" s="186"/>
      <c r="I366" s="175"/>
      <c r="J366" s="192">
        <v>7</v>
      </c>
      <c r="K366" s="170"/>
      <c r="L366" s="185" t="s">
        <v>1420</v>
      </c>
      <c r="M366" s="170"/>
      <c r="N366" s="170"/>
      <c r="O366" s="222" t="s">
        <v>1131</v>
      </c>
      <c r="P366" s="170"/>
      <c r="Q366" s="170"/>
      <c r="R366" s="170"/>
      <c r="S366" s="170"/>
    </row>
    <row r="367" spans="1:19">
      <c r="A367" s="176"/>
      <c r="B367" s="166"/>
      <c r="C367" s="166"/>
      <c r="D367" s="175" t="s">
        <v>1131</v>
      </c>
      <c r="G367" s="170"/>
      <c r="H367" s="186"/>
      <c r="I367" s="200"/>
      <c r="J367" s="195">
        <v>8</v>
      </c>
      <c r="K367" s="196"/>
      <c r="L367" s="197" t="s">
        <v>1412</v>
      </c>
      <c r="M367" s="196"/>
      <c r="N367" s="196"/>
      <c r="O367" s="240" t="s">
        <v>1131</v>
      </c>
      <c r="P367" s="170"/>
      <c r="Q367" s="170"/>
      <c r="R367" s="170"/>
      <c r="S367" s="170"/>
    </row>
    <row r="368" spans="1:19">
      <c r="A368" s="176"/>
      <c r="B368" s="166"/>
      <c r="C368" s="166"/>
      <c r="D368" s="175"/>
      <c r="G368" s="170"/>
      <c r="H368" s="186"/>
      <c r="I368" s="195" t="s">
        <v>1128</v>
      </c>
      <c r="J368" s="175"/>
      <c r="K368" s="185" t="s">
        <v>1415</v>
      </c>
      <c r="L368" s="170"/>
      <c r="M368" s="170"/>
      <c r="N368" s="170"/>
      <c r="O368" s="222"/>
      <c r="P368" s="170"/>
      <c r="Q368" s="170"/>
      <c r="R368" s="170"/>
      <c r="S368" s="170"/>
    </row>
    <row r="369" spans="1:19">
      <c r="A369" s="176"/>
      <c r="B369" s="166"/>
      <c r="C369" s="166"/>
      <c r="D369" s="175" t="s">
        <v>1131</v>
      </c>
      <c r="G369" s="170"/>
      <c r="H369" s="186"/>
      <c r="I369" s="175"/>
      <c r="J369" s="192">
        <v>9</v>
      </c>
      <c r="K369" s="170"/>
      <c r="L369" s="185" t="s">
        <v>1404</v>
      </c>
      <c r="M369" s="170"/>
      <c r="N369" s="170"/>
      <c r="O369" s="222" t="s">
        <v>1131</v>
      </c>
      <c r="P369" s="170"/>
      <c r="Q369" s="170"/>
      <c r="R369" s="170"/>
      <c r="S369" s="170"/>
    </row>
    <row r="370" spans="1:19">
      <c r="A370" s="176"/>
      <c r="B370" s="166"/>
      <c r="C370" s="166"/>
      <c r="D370" s="175" t="s">
        <v>1131</v>
      </c>
      <c r="G370" s="170"/>
      <c r="H370" s="186"/>
      <c r="I370" s="175"/>
      <c r="J370" s="192">
        <v>10</v>
      </c>
      <c r="K370" s="170"/>
      <c r="L370" s="185" t="s">
        <v>1421</v>
      </c>
      <c r="M370" s="170"/>
      <c r="N370" s="170"/>
      <c r="O370" s="222" t="s">
        <v>1131</v>
      </c>
      <c r="P370" s="170"/>
      <c r="Q370" s="170"/>
      <c r="R370" s="170"/>
      <c r="S370" s="170"/>
    </row>
    <row r="371" spans="1:19">
      <c r="A371" s="176"/>
      <c r="B371" s="166"/>
      <c r="C371" s="166"/>
      <c r="D371" s="175" t="s">
        <v>1131</v>
      </c>
      <c r="G371" s="170"/>
      <c r="H371" s="186"/>
      <c r="I371" s="175"/>
      <c r="J371" s="192">
        <v>11</v>
      </c>
      <c r="K371" s="170"/>
      <c r="L371" s="185" t="s">
        <v>1413</v>
      </c>
      <c r="M371" s="170"/>
      <c r="N371" s="170"/>
      <c r="O371" s="222" t="s">
        <v>1131</v>
      </c>
      <c r="P371" s="170"/>
      <c r="Q371" s="170"/>
      <c r="R371" s="170"/>
      <c r="S371" s="170"/>
    </row>
    <row r="372" spans="1:19">
      <c r="A372" s="176"/>
      <c r="B372" s="166"/>
      <c r="C372" s="166"/>
      <c r="D372" s="175" t="s">
        <v>1131</v>
      </c>
      <c r="G372" s="170"/>
      <c r="H372" s="186"/>
      <c r="I372" s="175"/>
      <c r="J372" s="192">
        <v>12</v>
      </c>
      <c r="K372" s="170"/>
      <c r="L372" s="185" t="s">
        <v>1422</v>
      </c>
      <c r="M372" s="170"/>
      <c r="N372" s="170"/>
      <c r="O372" s="222" t="s">
        <v>1131</v>
      </c>
      <c r="P372" s="170"/>
      <c r="Q372" s="170"/>
      <c r="R372" s="170"/>
      <c r="S372" s="170"/>
    </row>
    <row r="373" spans="1:19">
      <c r="A373" s="176"/>
      <c r="B373" s="166"/>
      <c r="C373" s="166"/>
      <c r="D373" s="175" t="s">
        <v>1131</v>
      </c>
      <c r="G373" s="170"/>
      <c r="H373" s="186"/>
      <c r="I373" s="175"/>
      <c r="J373" s="192">
        <v>13</v>
      </c>
      <c r="K373" s="170"/>
      <c r="L373" s="185" t="s">
        <v>1414</v>
      </c>
      <c r="M373" s="170"/>
      <c r="N373" s="170"/>
      <c r="O373" s="222" t="s">
        <v>1131</v>
      </c>
      <c r="P373" s="170"/>
      <c r="Q373" s="170"/>
      <c r="R373" s="170"/>
      <c r="S373" s="170"/>
    </row>
    <row r="374" spans="1:19">
      <c r="A374" s="176"/>
      <c r="B374" s="166"/>
      <c r="C374" s="166"/>
      <c r="D374" s="175" t="s">
        <v>1131</v>
      </c>
      <c r="G374" s="170"/>
      <c r="H374" s="186"/>
      <c r="I374" s="200"/>
      <c r="J374" s="195">
        <v>14</v>
      </c>
      <c r="K374" s="196"/>
      <c r="L374" s="197" t="s">
        <v>1423</v>
      </c>
      <c r="M374" s="196"/>
      <c r="N374" s="196"/>
      <c r="O374" s="240" t="s">
        <v>1131</v>
      </c>
      <c r="P374" s="170"/>
      <c r="Q374" s="170"/>
      <c r="R374" s="170"/>
      <c r="S374" s="170"/>
    </row>
    <row r="375" spans="1:19">
      <c r="A375" s="176"/>
      <c r="B375" s="166"/>
      <c r="C375" s="166"/>
      <c r="D375" s="175"/>
      <c r="G375" s="170"/>
      <c r="H375" s="186"/>
      <c r="I375" s="195" t="s">
        <v>1132</v>
      </c>
      <c r="J375" s="175"/>
      <c r="K375" s="185" t="s">
        <v>1424</v>
      </c>
      <c r="L375" s="170"/>
      <c r="M375" s="170"/>
      <c r="N375" s="170"/>
      <c r="O375" s="222"/>
      <c r="P375" s="170"/>
      <c r="Q375" s="170"/>
      <c r="R375" s="170"/>
      <c r="S375" s="170"/>
    </row>
    <row r="376" spans="1:19">
      <c r="A376" s="176"/>
      <c r="B376" s="166"/>
      <c r="C376" s="166"/>
      <c r="D376" s="175" t="s">
        <v>1131</v>
      </c>
      <c r="G376" s="170"/>
      <c r="H376" s="186"/>
      <c r="I376" s="175"/>
      <c r="J376" s="192">
        <v>1</v>
      </c>
      <c r="K376" s="170"/>
      <c r="L376" s="185" t="s">
        <v>1229</v>
      </c>
      <c r="M376" s="170"/>
      <c r="N376" s="170"/>
      <c r="O376" s="222" t="s">
        <v>1131</v>
      </c>
      <c r="P376" s="170"/>
      <c r="Q376" s="170"/>
      <c r="R376" s="170"/>
      <c r="S376" s="170"/>
    </row>
    <row r="377" spans="1:19">
      <c r="A377" s="176"/>
      <c r="B377" s="166"/>
      <c r="C377" s="166"/>
      <c r="D377" s="175" t="s">
        <v>1131</v>
      </c>
      <c r="G377" s="170"/>
      <c r="H377" s="186"/>
      <c r="I377" s="175"/>
      <c r="J377" s="192">
        <v>2</v>
      </c>
      <c r="K377" s="170"/>
      <c r="L377" s="185" t="s">
        <v>1416</v>
      </c>
      <c r="M377" s="170"/>
      <c r="N377" s="170"/>
      <c r="O377" s="222" t="s">
        <v>1131</v>
      </c>
      <c r="P377" s="170"/>
      <c r="Q377" s="170"/>
      <c r="R377" s="170"/>
      <c r="S377" s="170"/>
    </row>
    <row r="378" spans="1:19">
      <c r="A378" s="176"/>
      <c r="B378" s="166"/>
      <c r="C378" s="166"/>
      <c r="D378" s="175" t="s">
        <v>1131</v>
      </c>
      <c r="G378" s="170"/>
      <c r="H378" s="186"/>
      <c r="I378" s="175"/>
      <c r="J378" s="192">
        <v>3</v>
      </c>
      <c r="K378" s="170"/>
      <c r="L378" s="185" t="s">
        <v>1417</v>
      </c>
      <c r="M378" s="170"/>
      <c r="N378" s="170"/>
      <c r="O378" s="222" t="s">
        <v>1131</v>
      </c>
      <c r="P378" s="170"/>
      <c r="Q378" s="170"/>
      <c r="R378" s="170"/>
      <c r="S378" s="170"/>
    </row>
    <row r="379" spans="1:19">
      <c r="A379" s="176"/>
      <c r="B379" s="166"/>
      <c r="C379" s="166"/>
      <c r="D379" s="175" t="s">
        <v>1131</v>
      </c>
      <c r="G379" s="170"/>
      <c r="H379" s="186"/>
      <c r="I379" s="175"/>
      <c r="J379" s="192">
        <v>4</v>
      </c>
      <c r="K379" s="170"/>
      <c r="L379" s="185" t="s">
        <v>1418</v>
      </c>
      <c r="M379" s="170"/>
      <c r="N379" s="170"/>
      <c r="O379" s="222" t="s">
        <v>1131</v>
      </c>
      <c r="P379" s="170"/>
      <c r="Q379" s="170"/>
      <c r="R379" s="170"/>
      <c r="S379" s="170"/>
    </row>
    <row r="380" spans="1:19">
      <c r="A380" s="176"/>
      <c r="B380" s="166"/>
      <c r="C380" s="166"/>
      <c r="D380" s="175" t="s">
        <v>1131</v>
      </c>
      <c r="G380" s="170"/>
      <c r="H380" s="186"/>
      <c r="I380" s="175"/>
      <c r="J380" s="192">
        <v>5</v>
      </c>
      <c r="K380" s="170"/>
      <c r="L380" s="185" t="s">
        <v>1282</v>
      </c>
      <c r="M380" s="170"/>
      <c r="N380" s="170"/>
      <c r="O380" s="222" t="s">
        <v>1131</v>
      </c>
      <c r="P380" s="170"/>
      <c r="Q380" s="170"/>
      <c r="R380" s="170"/>
      <c r="S380" s="170"/>
    </row>
    <row r="381" spans="1:19">
      <c r="A381" s="176"/>
      <c r="B381" s="166"/>
      <c r="C381" s="166"/>
      <c r="D381" s="175" t="s">
        <v>1131</v>
      </c>
      <c r="G381" s="170"/>
      <c r="H381" s="186"/>
      <c r="I381" s="175"/>
      <c r="J381" s="192">
        <v>6</v>
      </c>
      <c r="K381" s="170"/>
      <c r="L381" s="185" t="s">
        <v>1419</v>
      </c>
      <c r="M381" s="170"/>
      <c r="N381" s="170"/>
      <c r="O381" s="222" t="s">
        <v>1131</v>
      </c>
      <c r="P381" s="170"/>
      <c r="Q381" s="170"/>
      <c r="R381" s="170"/>
      <c r="S381" s="170"/>
    </row>
    <row r="382" spans="1:19">
      <c r="A382" s="176"/>
      <c r="B382" s="166"/>
      <c r="C382" s="166"/>
      <c r="D382" s="175" t="s">
        <v>1131</v>
      </c>
      <c r="G382" s="170"/>
      <c r="H382" s="186"/>
      <c r="I382" s="175"/>
      <c r="J382" s="192">
        <v>7</v>
      </c>
      <c r="K382" s="170"/>
      <c r="L382" s="185" t="s">
        <v>1425</v>
      </c>
      <c r="M382" s="170"/>
      <c r="N382" s="170"/>
      <c r="O382" s="222" t="s">
        <v>1131</v>
      </c>
      <c r="P382" s="170"/>
      <c r="Q382" s="170"/>
      <c r="R382" s="170"/>
      <c r="S382" s="170"/>
    </row>
    <row r="383" spans="1:19">
      <c r="A383" s="176"/>
      <c r="B383" s="166"/>
      <c r="C383" s="166"/>
      <c r="D383" s="175" t="s">
        <v>1131</v>
      </c>
      <c r="G383" s="170"/>
      <c r="H383" s="186"/>
      <c r="I383" s="175"/>
      <c r="J383" s="192">
        <v>8</v>
      </c>
      <c r="K383" s="170"/>
      <c r="L383" s="185" t="s">
        <v>1412</v>
      </c>
      <c r="M383" s="170"/>
      <c r="N383" s="170"/>
      <c r="O383" s="222" t="s">
        <v>1131</v>
      </c>
      <c r="P383" s="170"/>
      <c r="Q383" s="170"/>
      <c r="R383" s="170"/>
      <c r="S383" s="170"/>
    </row>
    <row r="384" spans="1:19" ht="15.75" thickBot="1">
      <c r="A384" s="176"/>
      <c r="B384" s="166"/>
      <c r="C384" s="166"/>
      <c r="D384" s="175" t="s">
        <v>1131</v>
      </c>
      <c r="G384" s="170"/>
      <c r="H384" s="232"/>
      <c r="I384" s="233"/>
      <c r="J384" s="234">
        <v>9</v>
      </c>
      <c r="K384" s="235"/>
      <c r="L384" s="236" t="s">
        <v>1404</v>
      </c>
      <c r="M384" s="235"/>
      <c r="N384" s="235"/>
      <c r="O384" s="268" t="s">
        <v>1131</v>
      </c>
      <c r="P384" s="170"/>
      <c r="Q384" s="170"/>
      <c r="R384" s="170"/>
      <c r="S384" s="170"/>
    </row>
    <row r="385" spans="1:19">
      <c r="A385" s="176"/>
      <c r="B385" s="166"/>
      <c r="C385" s="166"/>
      <c r="D385" s="175"/>
      <c r="G385" s="170"/>
      <c r="H385" s="238"/>
      <c r="I385" s="175"/>
      <c r="J385" s="175"/>
      <c r="K385" s="170"/>
      <c r="L385" s="185"/>
      <c r="M385" s="170"/>
      <c r="N385" s="170"/>
      <c r="O385" s="173"/>
      <c r="P385" s="170"/>
      <c r="Q385" s="170"/>
      <c r="R385" s="170"/>
      <c r="S385" s="170"/>
    </row>
    <row r="386" spans="1:19">
      <c r="A386" s="176"/>
      <c r="B386" s="166"/>
      <c r="C386" s="166"/>
      <c r="D386" s="175"/>
      <c r="G386" s="170"/>
      <c r="H386" s="238"/>
      <c r="I386" s="175"/>
      <c r="J386" s="175"/>
      <c r="K386" s="170"/>
      <c r="L386" s="185"/>
      <c r="M386" s="170"/>
      <c r="N386" s="170"/>
      <c r="O386" s="173"/>
      <c r="P386" s="170"/>
      <c r="Q386" s="170"/>
      <c r="R386" s="170"/>
      <c r="S386" s="170"/>
    </row>
    <row r="387" spans="1:19">
      <c r="A387" s="176">
        <v>43</v>
      </c>
      <c r="B387" s="166" t="s">
        <v>1396</v>
      </c>
      <c r="C387" s="166" t="s">
        <v>1397</v>
      </c>
      <c r="D387" s="175"/>
      <c r="G387" s="170"/>
      <c r="H387" s="208">
        <v>43</v>
      </c>
      <c r="I387" s="210"/>
      <c r="J387" s="220"/>
      <c r="K387" s="265" t="s">
        <v>1397</v>
      </c>
      <c r="L387" s="220"/>
      <c r="M387" s="220"/>
      <c r="N387" s="220"/>
      <c r="O387" s="230"/>
      <c r="P387" s="170"/>
      <c r="Q387" s="184">
        <f>H387</f>
        <v>43</v>
      </c>
      <c r="R387" s="175" t="str">
        <f>CONCATENATE("II-",TEXT(Q387,"0000"))</f>
        <v>II-0043</v>
      </c>
      <c r="S387" s="185" t="str">
        <f>K387</f>
        <v>HORMIGON CEMENTO PORTLAND EXCLUIDA LA ARAMDURA</v>
      </c>
    </row>
    <row r="388" spans="1:19">
      <c r="A388" s="176"/>
      <c r="B388" s="166"/>
      <c r="C388" s="166"/>
      <c r="D388" s="175"/>
      <c r="G388" s="170"/>
      <c r="H388" s="186"/>
      <c r="I388" s="195" t="s">
        <v>1132</v>
      </c>
      <c r="J388" s="175"/>
      <c r="K388" s="185" t="s">
        <v>1424</v>
      </c>
      <c r="L388" s="170"/>
      <c r="M388" s="170"/>
      <c r="N388" s="170"/>
      <c r="O388" s="222"/>
      <c r="P388" s="170"/>
      <c r="Q388" s="170"/>
      <c r="R388" s="170"/>
      <c r="S388" s="170"/>
    </row>
    <row r="389" spans="1:19">
      <c r="A389" s="176"/>
      <c r="B389" s="166"/>
      <c r="C389" s="166"/>
      <c r="D389" s="175" t="s">
        <v>1131</v>
      </c>
      <c r="G389" s="170"/>
      <c r="H389" s="186"/>
      <c r="I389" s="175"/>
      <c r="J389" s="192">
        <v>10</v>
      </c>
      <c r="K389" s="170"/>
      <c r="L389" s="185" t="s">
        <v>1421</v>
      </c>
      <c r="M389" s="170"/>
      <c r="N389" s="170"/>
      <c r="O389" s="222" t="s">
        <v>1131</v>
      </c>
      <c r="P389" s="170"/>
      <c r="Q389" s="170"/>
      <c r="R389" s="170"/>
      <c r="S389" s="170"/>
    </row>
    <row r="390" spans="1:19">
      <c r="A390" s="176"/>
      <c r="B390" s="166"/>
      <c r="C390" s="166"/>
      <c r="D390" s="175" t="s">
        <v>1131</v>
      </c>
      <c r="G390" s="170"/>
      <c r="H390" s="186"/>
      <c r="I390" s="175"/>
      <c r="J390" s="192">
        <v>11</v>
      </c>
      <c r="K390" s="170"/>
      <c r="L390" s="185" t="s">
        <v>1413</v>
      </c>
      <c r="M390" s="170"/>
      <c r="N390" s="170"/>
      <c r="O390" s="222" t="s">
        <v>1131</v>
      </c>
      <c r="P390" s="170"/>
      <c r="Q390" s="170"/>
      <c r="R390" s="170"/>
      <c r="S390" s="170"/>
    </row>
    <row r="391" spans="1:19">
      <c r="A391" s="176"/>
      <c r="B391" s="166"/>
      <c r="C391" s="166"/>
      <c r="D391" s="175" t="s">
        <v>1131</v>
      </c>
      <c r="G391" s="170"/>
      <c r="H391" s="186"/>
      <c r="I391" s="175"/>
      <c r="J391" s="192">
        <v>12</v>
      </c>
      <c r="K391" s="170"/>
      <c r="L391" s="185" t="s">
        <v>1422</v>
      </c>
      <c r="M391" s="170"/>
      <c r="N391" s="170"/>
      <c r="O391" s="222" t="s">
        <v>1131</v>
      </c>
      <c r="P391" s="170"/>
      <c r="Q391" s="170"/>
      <c r="R391" s="170"/>
      <c r="S391" s="170"/>
    </row>
    <row r="392" spans="1:19">
      <c r="A392" s="176"/>
      <c r="B392" s="166"/>
      <c r="C392" s="166"/>
      <c r="D392" s="175" t="s">
        <v>1131</v>
      </c>
      <c r="G392" s="170"/>
      <c r="H392" s="186"/>
      <c r="I392" s="175"/>
      <c r="J392" s="192">
        <v>13</v>
      </c>
      <c r="K392" s="170"/>
      <c r="L392" s="185" t="s">
        <v>1414</v>
      </c>
      <c r="M392" s="170"/>
      <c r="N392" s="170"/>
      <c r="O392" s="222" t="s">
        <v>1131</v>
      </c>
      <c r="P392" s="170"/>
      <c r="Q392" s="170"/>
      <c r="R392" s="170"/>
      <c r="S392" s="170"/>
    </row>
    <row r="393" spans="1:19">
      <c r="A393" s="176"/>
      <c r="B393" s="166"/>
      <c r="C393" s="166"/>
      <c r="D393" s="175" t="s">
        <v>1131</v>
      </c>
      <c r="G393" s="170"/>
      <c r="H393" s="186"/>
      <c r="I393" s="200"/>
      <c r="J393" s="195">
        <v>14</v>
      </c>
      <c r="K393" s="196"/>
      <c r="L393" s="197" t="s">
        <v>1423</v>
      </c>
      <c r="M393" s="196"/>
      <c r="N393" s="196"/>
      <c r="O393" s="240" t="s">
        <v>1131</v>
      </c>
      <c r="P393" s="170"/>
      <c r="Q393" s="170"/>
      <c r="R393" s="170"/>
      <c r="S393" s="170"/>
    </row>
    <row r="394" spans="1:19">
      <c r="A394" s="176"/>
      <c r="B394" s="166"/>
      <c r="C394" s="166"/>
      <c r="D394" s="175"/>
      <c r="G394" s="170"/>
      <c r="H394" s="186"/>
      <c r="I394" s="195" t="s">
        <v>1135</v>
      </c>
      <c r="J394" s="175"/>
      <c r="K394" s="185" t="s">
        <v>1426</v>
      </c>
      <c r="L394" s="170"/>
      <c r="M394" s="170"/>
      <c r="N394" s="170"/>
      <c r="O394" s="222"/>
      <c r="P394" s="170"/>
      <c r="Q394" s="170"/>
      <c r="R394" s="170"/>
      <c r="S394" s="170"/>
    </row>
    <row r="395" spans="1:19">
      <c r="A395" s="176"/>
      <c r="B395" s="166"/>
      <c r="C395" s="166"/>
      <c r="D395" s="175" t="s">
        <v>1131</v>
      </c>
      <c r="G395" s="170"/>
      <c r="H395" s="186"/>
      <c r="I395" s="175"/>
      <c r="J395" s="192">
        <v>1</v>
      </c>
      <c r="K395" s="170"/>
      <c r="L395" s="185" t="s">
        <v>1417</v>
      </c>
      <c r="M395" s="170"/>
      <c r="N395" s="170"/>
      <c r="O395" s="222" t="s">
        <v>1131</v>
      </c>
      <c r="P395" s="170"/>
      <c r="Q395" s="170"/>
      <c r="R395" s="170"/>
      <c r="S395" s="170"/>
    </row>
    <row r="396" spans="1:19">
      <c r="A396" s="176"/>
      <c r="B396" s="166"/>
      <c r="C396" s="166"/>
      <c r="D396" s="175" t="s">
        <v>1131</v>
      </c>
      <c r="G396" s="170"/>
      <c r="H396" s="186"/>
      <c r="I396" s="175"/>
      <c r="J396" s="192">
        <v>2</v>
      </c>
      <c r="K396" s="170"/>
      <c r="L396" s="185" t="s">
        <v>1418</v>
      </c>
      <c r="M396" s="170"/>
      <c r="N396" s="170"/>
      <c r="O396" s="222" t="s">
        <v>1131</v>
      </c>
      <c r="P396" s="170"/>
      <c r="Q396" s="170"/>
      <c r="R396" s="170"/>
      <c r="S396" s="170"/>
    </row>
    <row r="397" spans="1:19">
      <c r="A397" s="176"/>
      <c r="B397" s="166"/>
      <c r="C397" s="166"/>
      <c r="D397" s="175" t="s">
        <v>1131</v>
      </c>
      <c r="G397" s="170"/>
      <c r="H397" s="186"/>
      <c r="I397" s="175"/>
      <c r="J397" s="192">
        <v>3</v>
      </c>
      <c r="K397" s="170"/>
      <c r="L397" s="185" t="s">
        <v>1282</v>
      </c>
      <c r="M397" s="170"/>
      <c r="N397" s="170"/>
      <c r="O397" s="222" t="s">
        <v>1131</v>
      </c>
      <c r="P397" s="170"/>
      <c r="Q397" s="170"/>
      <c r="R397" s="170"/>
      <c r="S397" s="170"/>
    </row>
    <row r="398" spans="1:19">
      <c r="A398" s="176"/>
      <c r="B398" s="166"/>
      <c r="C398" s="166"/>
      <c r="D398" s="175" t="s">
        <v>1131</v>
      </c>
      <c r="G398" s="170"/>
      <c r="H398" s="186"/>
      <c r="I398" s="175"/>
      <c r="J398" s="192">
        <v>4</v>
      </c>
      <c r="K398" s="170"/>
      <c r="L398" s="185" t="s">
        <v>1419</v>
      </c>
      <c r="M398" s="170"/>
      <c r="N398" s="170"/>
      <c r="O398" s="222" t="s">
        <v>1131</v>
      </c>
      <c r="P398" s="170"/>
      <c r="Q398" s="170"/>
      <c r="R398" s="170"/>
      <c r="S398" s="170"/>
    </row>
    <row r="399" spans="1:19">
      <c r="A399" s="176"/>
      <c r="B399" s="166"/>
      <c r="C399" s="166"/>
      <c r="D399" s="175" t="s">
        <v>1131</v>
      </c>
      <c r="G399" s="170"/>
      <c r="H399" s="186"/>
      <c r="I399" s="175"/>
      <c r="J399" s="192">
        <v>5</v>
      </c>
      <c r="K399" s="170"/>
      <c r="L399" s="185" t="s">
        <v>1425</v>
      </c>
      <c r="M399" s="170"/>
      <c r="N399" s="170"/>
      <c r="O399" s="222" t="s">
        <v>1131</v>
      </c>
      <c r="P399" s="170"/>
      <c r="Q399" s="170"/>
      <c r="R399" s="170"/>
      <c r="S399" s="170"/>
    </row>
    <row r="400" spans="1:19">
      <c r="A400" s="176"/>
      <c r="B400" s="166"/>
      <c r="C400" s="166"/>
      <c r="D400" s="175" t="s">
        <v>1131</v>
      </c>
      <c r="G400" s="170"/>
      <c r="H400" s="186"/>
      <c r="I400" s="175"/>
      <c r="J400" s="192">
        <v>6</v>
      </c>
      <c r="K400" s="170"/>
      <c r="L400" s="185" t="s">
        <v>1404</v>
      </c>
      <c r="M400" s="170"/>
      <c r="N400" s="170"/>
      <c r="O400" s="222" t="s">
        <v>1131</v>
      </c>
      <c r="P400" s="170"/>
      <c r="Q400" s="170"/>
      <c r="R400" s="170"/>
      <c r="S400" s="170"/>
    </row>
    <row r="401" spans="1:19">
      <c r="A401" s="176"/>
      <c r="B401" s="166"/>
      <c r="C401" s="166"/>
      <c r="D401" s="175" t="s">
        <v>1131</v>
      </c>
      <c r="G401" s="170"/>
      <c r="H401" s="186"/>
      <c r="I401" s="175"/>
      <c r="J401" s="192">
        <v>7</v>
      </c>
      <c r="K401" s="170"/>
      <c r="L401" s="185" t="s">
        <v>1421</v>
      </c>
      <c r="M401" s="170"/>
      <c r="N401" s="170"/>
      <c r="O401" s="222" t="s">
        <v>1131</v>
      </c>
      <c r="P401" s="170"/>
      <c r="Q401" s="170"/>
      <c r="R401" s="170"/>
      <c r="S401" s="170"/>
    </row>
    <row r="402" spans="1:19">
      <c r="A402" s="176"/>
      <c r="B402" s="166"/>
      <c r="C402" s="166"/>
      <c r="D402" s="175" t="s">
        <v>1131</v>
      </c>
      <c r="G402" s="170"/>
      <c r="H402" s="186"/>
      <c r="I402" s="175"/>
      <c r="J402" s="192">
        <v>8</v>
      </c>
      <c r="K402" s="170"/>
      <c r="L402" s="185" t="s">
        <v>1413</v>
      </c>
      <c r="M402" s="170"/>
      <c r="N402" s="170"/>
      <c r="O402" s="222" t="s">
        <v>1131</v>
      </c>
      <c r="P402" s="170"/>
      <c r="Q402" s="170"/>
      <c r="R402" s="170"/>
      <c r="S402" s="170"/>
    </row>
    <row r="403" spans="1:19">
      <c r="A403" s="176"/>
      <c r="B403" s="166"/>
      <c r="C403" s="166"/>
      <c r="D403" s="175" t="s">
        <v>1131</v>
      </c>
      <c r="G403" s="170"/>
      <c r="H403" s="186"/>
      <c r="I403" s="175"/>
      <c r="J403" s="192">
        <v>9</v>
      </c>
      <c r="K403" s="170"/>
      <c r="L403" s="185" t="s">
        <v>1422</v>
      </c>
      <c r="M403" s="170"/>
      <c r="N403" s="170"/>
      <c r="O403" s="222" t="s">
        <v>1131</v>
      </c>
      <c r="P403" s="170"/>
      <c r="Q403" s="170"/>
      <c r="R403" s="170"/>
      <c r="S403" s="170"/>
    </row>
    <row r="404" spans="1:19" ht="15.75" thickBot="1">
      <c r="A404" s="176"/>
      <c r="B404" s="166"/>
      <c r="C404" s="166"/>
      <c r="D404" s="175" t="s">
        <v>1131</v>
      </c>
      <c r="G404" s="170"/>
      <c r="H404" s="201"/>
      <c r="I404" s="202"/>
      <c r="J404" s="203">
        <v>10</v>
      </c>
      <c r="K404" s="204"/>
      <c r="L404" s="205" t="s">
        <v>1423</v>
      </c>
      <c r="M404" s="204"/>
      <c r="N404" s="204"/>
      <c r="O404" s="266" t="s">
        <v>1131</v>
      </c>
      <c r="P404" s="170"/>
      <c r="Q404" s="170"/>
      <c r="R404" s="170"/>
      <c r="S404" s="170"/>
    </row>
    <row r="405" spans="1:19" ht="15.75" thickTop="1">
      <c r="A405" s="176">
        <v>44</v>
      </c>
      <c r="B405" s="166" t="s">
        <v>1427</v>
      </c>
      <c r="C405" s="166" t="s">
        <v>1428</v>
      </c>
      <c r="D405" s="175"/>
      <c r="G405" s="170"/>
      <c r="H405" s="208">
        <v>44</v>
      </c>
      <c r="I405" s="210"/>
      <c r="J405" s="220"/>
      <c r="K405" s="265" t="s">
        <v>1428</v>
      </c>
      <c r="L405" s="220"/>
      <c r="M405" s="220"/>
      <c r="N405" s="220"/>
      <c r="O405" s="230"/>
      <c r="P405" s="170"/>
      <c r="Q405" s="184">
        <f>H405</f>
        <v>44</v>
      </c>
      <c r="R405" s="175" t="str">
        <f>CONCATENATE("II-",TEXT(Q405,"0000"))</f>
        <v>II-0044</v>
      </c>
      <c r="S405" s="185" t="str">
        <f>K405</f>
        <v>HORMIGON  ARS EXCLUIDA LA ARAMDURA</v>
      </c>
    </row>
    <row r="406" spans="1:19">
      <c r="A406" s="176"/>
      <c r="B406" s="166"/>
      <c r="C406" s="166"/>
      <c r="D406" s="175"/>
      <c r="G406" s="170"/>
      <c r="H406" s="186"/>
      <c r="I406" s="195" t="s">
        <v>1020</v>
      </c>
      <c r="J406" s="175"/>
      <c r="K406" s="185" t="s">
        <v>1398</v>
      </c>
      <c r="L406" s="170"/>
      <c r="M406" s="170"/>
      <c r="N406" s="170"/>
      <c r="O406" s="222"/>
      <c r="P406" s="170"/>
      <c r="Q406" s="170"/>
      <c r="R406" s="170"/>
      <c r="S406" s="170"/>
    </row>
    <row r="407" spans="1:19">
      <c r="A407" s="176"/>
      <c r="B407" s="166"/>
      <c r="C407" s="166"/>
      <c r="D407" s="175" t="s">
        <v>1131</v>
      </c>
      <c r="G407" s="170"/>
      <c r="H407" s="186"/>
      <c r="I407" s="175"/>
      <c r="J407" s="192">
        <v>1</v>
      </c>
      <c r="K407" s="170"/>
      <c r="L407" s="185" t="s">
        <v>1229</v>
      </c>
      <c r="M407" s="170"/>
      <c r="N407" s="170"/>
      <c r="O407" s="222" t="s">
        <v>1131</v>
      </c>
      <c r="P407" s="170"/>
      <c r="Q407" s="170"/>
      <c r="R407" s="170"/>
      <c r="S407" s="170"/>
    </row>
    <row r="408" spans="1:19">
      <c r="A408" s="176"/>
      <c r="B408" s="166"/>
      <c r="C408" s="166"/>
      <c r="D408" s="175" t="s">
        <v>1131</v>
      </c>
      <c r="G408" s="170"/>
      <c r="H408" s="186"/>
      <c r="I408" s="175"/>
      <c r="J408" s="192">
        <v>2</v>
      </c>
      <c r="K408" s="170"/>
      <c r="L408" s="185" t="s">
        <v>1400</v>
      </c>
      <c r="M408" s="170"/>
      <c r="N408" s="170"/>
      <c r="O408" s="222" t="s">
        <v>1131</v>
      </c>
      <c r="P408" s="170"/>
      <c r="Q408" s="170"/>
      <c r="R408" s="170"/>
      <c r="S408" s="170"/>
    </row>
    <row r="409" spans="1:19">
      <c r="A409" s="176"/>
      <c r="B409" s="166"/>
      <c r="C409" s="166"/>
      <c r="D409" s="175" t="s">
        <v>1131</v>
      </c>
      <c r="G409" s="170"/>
      <c r="H409" s="186"/>
      <c r="I409" s="175"/>
      <c r="J409" s="192">
        <v>3</v>
      </c>
      <c r="K409" s="170"/>
      <c r="L409" s="185" t="s">
        <v>1429</v>
      </c>
      <c r="M409" s="170"/>
      <c r="N409" s="170"/>
      <c r="O409" s="222" t="s">
        <v>1131</v>
      </c>
      <c r="P409" s="170"/>
      <c r="Q409" s="170"/>
      <c r="R409" s="170"/>
      <c r="S409" s="170"/>
    </row>
    <row r="410" spans="1:19">
      <c r="A410" s="176"/>
      <c r="B410" s="166"/>
      <c r="C410" s="166"/>
      <c r="D410" s="175" t="s">
        <v>1131</v>
      </c>
      <c r="G410" s="170"/>
      <c r="H410" s="186"/>
      <c r="I410" s="175"/>
      <c r="J410" s="192">
        <v>4</v>
      </c>
      <c r="K410" s="170"/>
      <c r="L410" s="185" t="s">
        <v>1380</v>
      </c>
      <c r="M410" s="170"/>
      <c r="N410" s="170"/>
      <c r="O410" s="222" t="s">
        <v>1131</v>
      </c>
      <c r="P410" s="170"/>
      <c r="Q410" s="170"/>
      <c r="R410" s="170"/>
      <c r="S410" s="170"/>
    </row>
    <row r="411" spans="1:19">
      <c r="A411" s="176"/>
      <c r="B411" s="166"/>
      <c r="C411" s="166"/>
      <c r="D411" s="175" t="s">
        <v>1131</v>
      </c>
      <c r="G411" s="170"/>
      <c r="H411" s="186"/>
      <c r="I411" s="200"/>
      <c r="J411" s="195">
        <v>5</v>
      </c>
      <c r="K411" s="196"/>
      <c r="L411" s="197" t="s">
        <v>1401</v>
      </c>
      <c r="M411" s="196"/>
      <c r="N411" s="196"/>
      <c r="O411" s="240" t="s">
        <v>1131</v>
      </c>
      <c r="P411" s="170"/>
      <c r="Q411" s="170"/>
      <c r="R411" s="170"/>
      <c r="S411" s="170"/>
    </row>
    <row r="412" spans="1:19">
      <c r="A412" s="176"/>
      <c r="B412" s="166"/>
      <c r="C412" s="166"/>
      <c r="D412" s="175"/>
      <c r="G412" s="170"/>
      <c r="H412" s="186"/>
      <c r="I412" s="195" t="s">
        <v>1047</v>
      </c>
      <c r="J412" s="175"/>
      <c r="K412" s="185" t="s">
        <v>1402</v>
      </c>
      <c r="L412" s="170"/>
      <c r="M412" s="170"/>
      <c r="N412" s="170"/>
      <c r="O412" s="222"/>
      <c r="P412" s="170"/>
      <c r="Q412" s="170"/>
      <c r="R412" s="170"/>
      <c r="S412" s="170"/>
    </row>
    <row r="413" spans="1:19">
      <c r="A413" s="176"/>
      <c r="B413" s="166"/>
      <c r="C413" s="166"/>
      <c r="D413" s="175" t="s">
        <v>1131</v>
      </c>
      <c r="G413" s="170"/>
      <c r="H413" s="186"/>
      <c r="I413" s="175"/>
      <c r="J413" s="192">
        <v>1</v>
      </c>
      <c r="K413" s="170"/>
      <c r="L413" s="185" t="s">
        <v>1229</v>
      </c>
      <c r="M413" s="170"/>
      <c r="N413" s="170"/>
      <c r="O413" s="222" t="s">
        <v>1131</v>
      </c>
      <c r="P413" s="170"/>
      <c r="Q413" s="170"/>
      <c r="R413" s="170"/>
      <c r="S413" s="170"/>
    </row>
    <row r="414" spans="1:19">
      <c r="A414" s="176"/>
      <c r="B414" s="166"/>
      <c r="C414" s="166"/>
      <c r="D414" s="175" t="s">
        <v>1131</v>
      </c>
      <c r="G414" s="170"/>
      <c r="H414" s="186"/>
      <c r="I414" s="175"/>
      <c r="J414" s="192">
        <v>2</v>
      </c>
      <c r="K414" s="170"/>
      <c r="L414" s="185" t="s">
        <v>1403</v>
      </c>
      <c r="M414" s="170"/>
      <c r="N414" s="170"/>
      <c r="O414" s="222" t="s">
        <v>1131</v>
      </c>
      <c r="P414" s="170"/>
      <c r="Q414" s="170"/>
      <c r="R414" s="170"/>
      <c r="S414" s="170"/>
    </row>
    <row r="415" spans="1:19">
      <c r="A415" s="176"/>
      <c r="B415" s="166"/>
      <c r="C415" s="166"/>
      <c r="D415" s="175" t="s">
        <v>1131</v>
      </c>
      <c r="G415" s="170"/>
      <c r="H415" s="186"/>
      <c r="I415" s="175"/>
      <c r="J415" s="192">
        <v>3</v>
      </c>
      <c r="K415" s="170"/>
      <c r="L415" s="185" t="s">
        <v>1404</v>
      </c>
      <c r="M415" s="170"/>
      <c r="N415" s="170"/>
      <c r="O415" s="222" t="s">
        <v>1131</v>
      </c>
      <c r="P415" s="170"/>
      <c r="Q415" s="170"/>
      <c r="R415" s="170"/>
      <c r="S415" s="170"/>
    </row>
    <row r="416" spans="1:19">
      <c r="A416" s="176"/>
      <c r="B416" s="166"/>
      <c r="C416" s="166"/>
      <c r="D416" s="175" t="s">
        <v>1131</v>
      </c>
      <c r="G416" s="170"/>
      <c r="H416" s="186"/>
      <c r="I416" s="288"/>
      <c r="J416" s="192">
        <v>4</v>
      </c>
      <c r="K416" s="170"/>
      <c r="L416" s="185" t="s">
        <v>1405</v>
      </c>
      <c r="M416" s="170"/>
      <c r="N416" s="170"/>
      <c r="O416" s="222" t="s">
        <v>1131</v>
      </c>
      <c r="P416" s="170"/>
      <c r="Q416" s="170"/>
      <c r="R416" s="170"/>
      <c r="S416" s="170"/>
    </row>
    <row r="417" spans="1:19">
      <c r="A417" s="176"/>
      <c r="B417" s="166"/>
      <c r="C417" s="166"/>
      <c r="D417" s="175" t="s">
        <v>1131</v>
      </c>
      <c r="G417" s="170"/>
      <c r="H417" s="186"/>
      <c r="I417" s="175"/>
      <c r="J417" s="192">
        <v>5</v>
      </c>
      <c r="K417" s="170"/>
      <c r="L417" s="185" t="s">
        <v>1406</v>
      </c>
      <c r="M417" s="170"/>
      <c r="N417" s="170"/>
      <c r="O417" s="222" t="s">
        <v>1131</v>
      </c>
      <c r="P417" s="170"/>
      <c r="Q417" s="170"/>
      <c r="R417" s="170"/>
      <c r="S417" s="170"/>
    </row>
    <row r="418" spans="1:19">
      <c r="A418" s="176"/>
      <c r="B418" s="166"/>
      <c r="C418" s="166"/>
      <c r="D418" s="175" t="s">
        <v>1131</v>
      </c>
      <c r="G418" s="170"/>
      <c r="H418" s="186"/>
      <c r="I418" s="200"/>
      <c r="J418" s="195">
        <v>6</v>
      </c>
      <c r="K418" s="196"/>
      <c r="L418" s="197" t="s">
        <v>1401</v>
      </c>
      <c r="M418" s="196"/>
      <c r="N418" s="196"/>
      <c r="O418" s="240" t="s">
        <v>1131</v>
      </c>
      <c r="P418" s="170"/>
      <c r="Q418" s="170"/>
      <c r="R418" s="170"/>
      <c r="S418" s="170"/>
    </row>
    <row r="419" spans="1:19">
      <c r="A419" s="176"/>
      <c r="B419" s="166"/>
      <c r="C419" s="166"/>
      <c r="D419" s="175"/>
      <c r="G419" s="170"/>
      <c r="H419" s="186"/>
      <c r="I419" s="195" t="s">
        <v>1057</v>
      </c>
      <c r="J419" s="175"/>
      <c r="K419" s="185" t="s">
        <v>1407</v>
      </c>
      <c r="L419" s="170"/>
      <c r="M419" s="170"/>
      <c r="N419" s="170"/>
      <c r="O419" s="222"/>
      <c r="P419" s="170"/>
      <c r="Q419" s="170"/>
      <c r="R419" s="170"/>
      <c r="S419" s="170"/>
    </row>
    <row r="420" spans="1:19">
      <c r="A420" s="176"/>
      <c r="B420" s="166"/>
      <c r="C420" s="166"/>
      <c r="D420" s="175" t="s">
        <v>1131</v>
      </c>
      <c r="G420" s="170"/>
      <c r="H420" s="186"/>
      <c r="I420" s="175"/>
      <c r="J420" s="192">
        <v>1</v>
      </c>
      <c r="K420" s="170"/>
      <c r="L420" s="185" t="s">
        <v>1408</v>
      </c>
      <c r="M420" s="170"/>
      <c r="N420" s="170"/>
      <c r="O420" s="222" t="s">
        <v>1131</v>
      </c>
      <c r="P420" s="170"/>
      <c r="Q420" s="170"/>
      <c r="R420" s="170"/>
      <c r="S420" s="170"/>
    </row>
    <row r="421" spans="1:19">
      <c r="A421" s="176"/>
      <c r="B421" s="166"/>
      <c r="C421" s="166"/>
      <c r="D421" s="175" t="s">
        <v>1131</v>
      </c>
      <c r="G421" s="170"/>
      <c r="H421" s="186"/>
      <c r="I421" s="175"/>
      <c r="J421" s="192">
        <v>2</v>
      </c>
      <c r="K421" s="170"/>
      <c r="L421" s="185" t="s">
        <v>1229</v>
      </c>
      <c r="M421" s="170"/>
      <c r="N421" s="170"/>
      <c r="O421" s="222" t="s">
        <v>1131</v>
      </c>
      <c r="P421" s="170"/>
      <c r="Q421" s="170"/>
      <c r="R421" s="170"/>
      <c r="S421" s="170"/>
    </row>
    <row r="422" spans="1:19">
      <c r="A422" s="176"/>
      <c r="B422" s="166"/>
      <c r="C422" s="166"/>
      <c r="D422" s="175" t="s">
        <v>1131</v>
      </c>
      <c r="G422" s="170"/>
      <c r="H422" s="186"/>
      <c r="I422" s="175"/>
      <c r="J422" s="192">
        <v>3</v>
      </c>
      <c r="K422" s="170"/>
      <c r="L422" s="185" t="s">
        <v>1409</v>
      </c>
      <c r="M422" s="170"/>
      <c r="N422" s="170"/>
      <c r="O422" s="222" t="s">
        <v>1131</v>
      </c>
      <c r="P422" s="170"/>
      <c r="Q422" s="170"/>
      <c r="R422" s="170"/>
      <c r="S422" s="170"/>
    </row>
    <row r="423" spans="1:19">
      <c r="A423" s="176"/>
      <c r="B423" s="166"/>
      <c r="C423" s="166"/>
      <c r="D423" s="175" t="s">
        <v>1131</v>
      </c>
      <c r="G423" s="170"/>
      <c r="H423" s="186"/>
      <c r="I423" s="175"/>
      <c r="J423" s="192">
        <v>4</v>
      </c>
      <c r="K423" s="170"/>
      <c r="L423" s="185" t="s">
        <v>1340</v>
      </c>
      <c r="M423" s="170"/>
      <c r="N423" s="170"/>
      <c r="O423" s="222" t="s">
        <v>1131</v>
      </c>
      <c r="P423" s="170"/>
      <c r="Q423" s="170"/>
      <c r="R423" s="170"/>
      <c r="S423" s="170"/>
    </row>
    <row r="424" spans="1:19">
      <c r="A424" s="176"/>
      <c r="B424" s="166"/>
      <c r="C424" s="166"/>
      <c r="D424" s="175" t="s">
        <v>1131</v>
      </c>
      <c r="G424" s="170"/>
      <c r="H424" s="186"/>
      <c r="I424" s="200"/>
      <c r="J424" s="195">
        <v>5</v>
      </c>
      <c r="K424" s="196"/>
      <c r="L424" s="197" t="s">
        <v>1401</v>
      </c>
      <c r="M424" s="196"/>
      <c r="N424" s="196"/>
      <c r="O424" s="240" t="s">
        <v>1131</v>
      </c>
      <c r="P424" s="170"/>
      <c r="Q424" s="170"/>
      <c r="R424" s="170"/>
      <c r="S424" s="170"/>
    </row>
    <row r="425" spans="1:19">
      <c r="A425" s="176"/>
      <c r="B425" s="166"/>
      <c r="C425" s="166"/>
      <c r="D425" s="175"/>
      <c r="G425" s="170"/>
      <c r="H425" s="186"/>
      <c r="I425" s="195" t="s">
        <v>1083</v>
      </c>
      <c r="J425" s="175"/>
      <c r="K425" s="185" t="s">
        <v>1410</v>
      </c>
      <c r="L425" s="170"/>
      <c r="M425" s="170"/>
      <c r="N425" s="170"/>
      <c r="O425" s="222"/>
      <c r="P425" s="170"/>
      <c r="Q425" s="170"/>
      <c r="R425" s="170"/>
      <c r="S425" s="170"/>
    </row>
    <row r="426" spans="1:19">
      <c r="A426" s="176"/>
      <c r="B426" s="166"/>
      <c r="C426" s="166"/>
      <c r="D426" s="175" t="s">
        <v>1131</v>
      </c>
      <c r="G426" s="170"/>
      <c r="H426" s="186"/>
      <c r="I426" s="175"/>
      <c r="J426" s="192">
        <v>1</v>
      </c>
      <c r="K426" s="170"/>
      <c r="L426" s="185" t="s">
        <v>1408</v>
      </c>
      <c r="M426" s="170"/>
      <c r="N426" s="170"/>
      <c r="O426" s="222" t="s">
        <v>1131</v>
      </c>
      <c r="P426" s="170"/>
      <c r="Q426" s="170"/>
      <c r="R426" s="170"/>
      <c r="S426" s="170"/>
    </row>
    <row r="427" spans="1:19">
      <c r="A427" s="176"/>
      <c r="B427" s="166"/>
      <c r="C427" s="166"/>
      <c r="D427" s="175" t="s">
        <v>1131</v>
      </c>
      <c r="G427" s="170"/>
      <c r="H427" s="186"/>
      <c r="I427" s="175"/>
      <c r="J427" s="192">
        <v>2</v>
      </c>
      <c r="K427" s="170"/>
      <c r="L427" s="185" t="s">
        <v>1229</v>
      </c>
      <c r="M427" s="170"/>
      <c r="N427" s="170"/>
      <c r="O427" s="222" t="s">
        <v>1131</v>
      </c>
      <c r="P427" s="170"/>
      <c r="Q427" s="170"/>
      <c r="R427" s="170"/>
      <c r="S427" s="170"/>
    </row>
    <row r="428" spans="1:19">
      <c r="A428" s="176"/>
      <c r="B428" s="166"/>
      <c r="C428" s="166"/>
      <c r="D428" s="175" t="s">
        <v>1131</v>
      </c>
      <c r="G428" s="170"/>
      <c r="H428" s="186"/>
      <c r="I428" s="175"/>
      <c r="J428" s="192">
        <v>3</v>
      </c>
      <c r="K428" s="170"/>
      <c r="L428" s="185" t="s">
        <v>1411</v>
      </c>
      <c r="M428" s="170"/>
      <c r="N428" s="170"/>
      <c r="O428" s="222" t="s">
        <v>1131</v>
      </c>
      <c r="P428" s="170"/>
      <c r="Q428" s="170"/>
      <c r="R428" s="170"/>
      <c r="S428" s="170"/>
    </row>
    <row r="429" spans="1:19">
      <c r="A429" s="176"/>
      <c r="B429" s="166"/>
      <c r="C429" s="166"/>
      <c r="D429" s="175" t="s">
        <v>1131</v>
      </c>
      <c r="G429" s="170"/>
      <c r="H429" s="186"/>
      <c r="I429" s="175"/>
      <c r="J429" s="192">
        <v>4</v>
      </c>
      <c r="K429" s="170"/>
      <c r="L429" s="185" t="s">
        <v>1409</v>
      </c>
      <c r="M429" s="170"/>
      <c r="N429" s="170"/>
      <c r="O429" s="222" t="s">
        <v>1131</v>
      </c>
      <c r="P429" s="170"/>
      <c r="Q429" s="170"/>
      <c r="R429" s="170"/>
      <c r="S429" s="170"/>
    </row>
    <row r="430" spans="1:19">
      <c r="A430" s="176"/>
      <c r="B430" s="166"/>
      <c r="C430" s="166"/>
      <c r="D430" s="175" t="s">
        <v>1131</v>
      </c>
      <c r="G430" s="170"/>
      <c r="H430" s="186"/>
      <c r="I430" s="175"/>
      <c r="J430" s="192">
        <v>5</v>
      </c>
      <c r="K430" s="170"/>
      <c r="L430" s="185" t="s">
        <v>1340</v>
      </c>
      <c r="M430" s="170"/>
      <c r="N430" s="170"/>
      <c r="O430" s="222" t="s">
        <v>1131</v>
      </c>
      <c r="P430" s="170"/>
      <c r="Q430" s="170"/>
      <c r="R430" s="170"/>
      <c r="S430" s="170"/>
    </row>
    <row r="431" spans="1:19">
      <c r="A431" s="176"/>
      <c r="B431" s="166"/>
      <c r="C431" s="166"/>
      <c r="D431" s="175" t="s">
        <v>1131</v>
      </c>
      <c r="G431" s="170"/>
      <c r="H431" s="186"/>
      <c r="I431" s="175"/>
      <c r="J431" s="192">
        <v>6</v>
      </c>
      <c r="K431" s="170"/>
      <c r="L431" s="185" t="s">
        <v>1412</v>
      </c>
      <c r="M431" s="170"/>
      <c r="N431" s="170"/>
      <c r="O431" s="222" t="s">
        <v>1131</v>
      </c>
      <c r="P431" s="170"/>
      <c r="Q431" s="170"/>
      <c r="R431" s="170"/>
      <c r="S431" s="170"/>
    </row>
    <row r="432" spans="1:19" ht="15.75" thickBot="1">
      <c r="A432" s="176"/>
      <c r="B432" s="166"/>
      <c r="C432" s="166"/>
      <c r="D432" s="175" t="s">
        <v>1131</v>
      </c>
      <c r="G432" s="170"/>
      <c r="H432" s="232"/>
      <c r="I432" s="233"/>
      <c r="J432" s="234">
        <v>7</v>
      </c>
      <c r="K432" s="235"/>
      <c r="L432" s="236" t="s">
        <v>1413</v>
      </c>
      <c r="M432" s="235"/>
      <c r="N432" s="235"/>
      <c r="O432" s="268" t="s">
        <v>1131</v>
      </c>
      <c r="P432" s="170"/>
      <c r="Q432" s="170"/>
      <c r="R432" s="170"/>
      <c r="S432" s="170"/>
    </row>
    <row r="433" spans="1:19">
      <c r="A433" s="176"/>
      <c r="B433" s="166"/>
      <c r="C433" s="166"/>
      <c r="D433" s="175"/>
      <c r="G433" s="170"/>
      <c r="H433" s="238"/>
      <c r="I433" s="175"/>
      <c r="J433" s="175"/>
      <c r="K433" s="170"/>
      <c r="L433" s="185"/>
      <c r="M433" s="170"/>
      <c r="N433" s="170"/>
      <c r="O433" s="173"/>
      <c r="P433" s="170"/>
      <c r="Q433" s="170"/>
      <c r="R433" s="170"/>
      <c r="S433" s="170"/>
    </row>
    <row r="434" spans="1:19">
      <c r="A434" s="176"/>
      <c r="B434" s="166"/>
      <c r="C434" s="166"/>
      <c r="D434" s="175"/>
      <c r="G434" s="170"/>
      <c r="H434" s="238"/>
      <c r="I434" s="175"/>
      <c r="J434" s="175"/>
      <c r="K434" s="170"/>
      <c r="L434" s="185"/>
      <c r="M434" s="170"/>
      <c r="N434" s="170"/>
      <c r="O434" s="173"/>
      <c r="P434" s="170"/>
      <c r="Q434" s="170"/>
      <c r="R434" s="170"/>
      <c r="S434" s="170"/>
    </row>
    <row r="435" spans="1:19">
      <c r="A435" s="176">
        <v>44</v>
      </c>
      <c r="B435" s="166" t="s">
        <v>1427</v>
      </c>
      <c r="C435" s="166" t="s">
        <v>1428</v>
      </c>
      <c r="D435" s="175"/>
      <c r="G435" s="170"/>
      <c r="H435" s="208">
        <v>44</v>
      </c>
      <c r="I435" s="210"/>
      <c r="J435" s="220"/>
      <c r="K435" s="265" t="s">
        <v>1428</v>
      </c>
      <c r="L435" s="220"/>
      <c r="M435" s="220"/>
      <c r="N435" s="220"/>
      <c r="O435" s="230"/>
      <c r="P435" s="170"/>
      <c r="Q435" s="184">
        <f>H435</f>
        <v>44</v>
      </c>
      <c r="R435" s="175" t="str">
        <f>CONCATENATE("II-",TEXT(Q435,"0000"))</f>
        <v>II-0044</v>
      </c>
      <c r="S435" s="185" t="str">
        <f>K435</f>
        <v>HORMIGON  ARS EXCLUIDA LA ARAMDURA</v>
      </c>
    </row>
    <row r="436" spans="1:19">
      <c r="A436" s="176"/>
      <c r="B436" s="166"/>
      <c r="C436" s="166"/>
      <c r="D436" s="175"/>
      <c r="G436" s="170"/>
      <c r="H436" s="186"/>
      <c r="I436" s="195" t="s">
        <v>1083</v>
      </c>
      <c r="J436" s="175"/>
      <c r="K436" s="185" t="s">
        <v>1410</v>
      </c>
      <c r="L436" s="185"/>
      <c r="M436" s="170"/>
      <c r="N436" s="170"/>
      <c r="O436" s="173"/>
      <c r="P436" s="170"/>
      <c r="Q436" s="170"/>
      <c r="R436" s="170"/>
      <c r="S436" s="170"/>
    </row>
    <row r="437" spans="1:19">
      <c r="A437" s="176"/>
      <c r="B437" s="166"/>
      <c r="C437" s="166"/>
      <c r="D437" s="175" t="s">
        <v>1131</v>
      </c>
      <c r="G437" s="170"/>
      <c r="H437" s="186"/>
      <c r="I437" s="175"/>
      <c r="J437" s="192">
        <v>8</v>
      </c>
      <c r="K437" s="170"/>
      <c r="L437" s="185" t="s">
        <v>1414</v>
      </c>
      <c r="M437" s="170"/>
      <c r="N437" s="170"/>
      <c r="O437" s="222" t="s">
        <v>1131</v>
      </c>
      <c r="P437" s="170"/>
      <c r="Q437" s="170"/>
      <c r="R437" s="170"/>
      <c r="S437" s="170"/>
    </row>
    <row r="438" spans="1:19">
      <c r="A438" s="176"/>
      <c r="B438" s="166"/>
      <c r="C438" s="166"/>
      <c r="D438" s="175" t="s">
        <v>1131</v>
      </c>
      <c r="G438" s="170"/>
      <c r="H438" s="186"/>
      <c r="I438" s="200"/>
      <c r="J438" s="195">
        <v>9</v>
      </c>
      <c r="K438" s="196"/>
      <c r="L438" s="197" t="s">
        <v>1401</v>
      </c>
      <c r="M438" s="196"/>
      <c r="N438" s="196"/>
      <c r="O438" s="240" t="s">
        <v>1131</v>
      </c>
      <c r="P438" s="170"/>
      <c r="Q438" s="170"/>
      <c r="R438" s="170"/>
      <c r="S438" s="170"/>
    </row>
    <row r="439" spans="1:19">
      <c r="A439" s="176"/>
      <c r="B439" s="166"/>
      <c r="C439" s="166"/>
      <c r="D439" s="175"/>
      <c r="G439" s="170"/>
      <c r="H439" s="186"/>
      <c r="I439" s="195" t="s">
        <v>1125</v>
      </c>
      <c r="J439" s="175"/>
      <c r="K439" s="185" t="s">
        <v>1415</v>
      </c>
      <c r="L439" s="170"/>
      <c r="M439" s="170"/>
      <c r="N439" s="170"/>
      <c r="O439" s="222"/>
      <c r="P439" s="170"/>
      <c r="Q439" s="170"/>
      <c r="R439" s="170"/>
      <c r="S439" s="170"/>
    </row>
    <row r="440" spans="1:19">
      <c r="A440" s="176"/>
      <c r="B440" s="166"/>
      <c r="C440" s="166"/>
      <c r="D440" s="175" t="s">
        <v>1131</v>
      </c>
      <c r="G440" s="170"/>
      <c r="H440" s="186"/>
      <c r="I440" s="175"/>
      <c r="J440" s="192">
        <v>1</v>
      </c>
      <c r="K440" s="170"/>
      <c r="L440" s="185" t="s">
        <v>1229</v>
      </c>
      <c r="M440" s="170"/>
      <c r="N440" s="170"/>
      <c r="O440" s="222" t="s">
        <v>1131</v>
      </c>
      <c r="P440" s="170"/>
      <c r="Q440" s="170"/>
      <c r="R440" s="170"/>
      <c r="S440" s="170"/>
    </row>
    <row r="441" spans="1:19">
      <c r="A441" s="176"/>
      <c r="B441" s="166"/>
      <c r="C441" s="166"/>
      <c r="D441" s="175" t="s">
        <v>1131</v>
      </c>
      <c r="G441" s="170"/>
      <c r="H441" s="186"/>
      <c r="I441" s="175"/>
      <c r="J441" s="192">
        <v>2</v>
      </c>
      <c r="K441" s="170"/>
      <c r="L441" s="185" t="s">
        <v>1416</v>
      </c>
      <c r="M441" s="170"/>
      <c r="N441" s="170"/>
      <c r="O441" s="222" t="s">
        <v>1131</v>
      </c>
      <c r="P441" s="170"/>
      <c r="Q441" s="170"/>
      <c r="R441" s="170"/>
      <c r="S441" s="170"/>
    </row>
    <row r="442" spans="1:19">
      <c r="A442" s="176"/>
      <c r="B442" s="166"/>
      <c r="C442" s="166"/>
      <c r="D442" s="175" t="s">
        <v>1131</v>
      </c>
      <c r="G442" s="170"/>
      <c r="H442" s="186"/>
      <c r="I442" s="175"/>
      <c r="J442" s="192">
        <v>3</v>
      </c>
      <c r="K442" s="170"/>
      <c r="L442" s="185" t="s">
        <v>1417</v>
      </c>
      <c r="M442" s="170"/>
      <c r="N442" s="170"/>
      <c r="O442" s="222" t="s">
        <v>1131</v>
      </c>
      <c r="P442" s="170"/>
      <c r="Q442" s="170"/>
      <c r="R442" s="170"/>
      <c r="S442" s="170"/>
    </row>
    <row r="443" spans="1:19">
      <c r="A443" s="176"/>
      <c r="B443" s="166"/>
      <c r="C443" s="166"/>
      <c r="D443" s="175" t="s">
        <v>1131</v>
      </c>
      <c r="G443" s="170"/>
      <c r="H443" s="186"/>
      <c r="I443" s="175"/>
      <c r="J443" s="192">
        <v>4</v>
      </c>
      <c r="K443" s="170"/>
      <c r="L443" s="185" t="s">
        <v>1418</v>
      </c>
      <c r="M443" s="170"/>
      <c r="N443" s="170"/>
      <c r="O443" s="222" t="s">
        <v>1131</v>
      </c>
      <c r="P443" s="170"/>
      <c r="Q443" s="170"/>
      <c r="R443" s="170"/>
      <c r="S443" s="170"/>
    </row>
    <row r="444" spans="1:19">
      <c r="A444" s="176"/>
      <c r="B444" s="166"/>
      <c r="C444" s="166"/>
      <c r="D444" s="175" t="s">
        <v>1131</v>
      </c>
      <c r="G444" s="170"/>
      <c r="H444" s="186"/>
      <c r="I444" s="175"/>
      <c r="J444" s="192">
        <v>5</v>
      </c>
      <c r="K444" s="170"/>
      <c r="L444" s="185" t="s">
        <v>1282</v>
      </c>
      <c r="M444" s="170"/>
      <c r="N444" s="170"/>
      <c r="O444" s="222" t="s">
        <v>1131</v>
      </c>
      <c r="P444" s="170"/>
      <c r="Q444" s="170"/>
      <c r="R444" s="170"/>
      <c r="S444" s="170"/>
    </row>
    <row r="445" spans="1:19">
      <c r="A445" s="176"/>
      <c r="B445" s="166"/>
      <c r="C445" s="166"/>
      <c r="D445" s="175" t="s">
        <v>1131</v>
      </c>
      <c r="G445" s="170"/>
      <c r="H445" s="186"/>
      <c r="I445" s="175"/>
      <c r="J445" s="192">
        <v>6</v>
      </c>
      <c r="K445" s="170"/>
      <c r="L445" s="185" t="s">
        <v>1419</v>
      </c>
      <c r="M445" s="170"/>
      <c r="N445" s="170"/>
      <c r="O445" s="222" t="s">
        <v>1131</v>
      </c>
      <c r="P445" s="170"/>
      <c r="Q445" s="170"/>
      <c r="R445" s="170"/>
      <c r="S445" s="170"/>
    </row>
    <row r="446" spans="1:19">
      <c r="A446" s="176"/>
      <c r="B446" s="166"/>
      <c r="C446" s="166"/>
      <c r="D446" s="175" t="s">
        <v>1131</v>
      </c>
      <c r="G446" s="170"/>
      <c r="H446" s="186"/>
      <c r="I446" s="175"/>
      <c r="J446" s="192">
        <v>7</v>
      </c>
      <c r="K446" s="170"/>
      <c r="L446" s="185" t="s">
        <v>1420</v>
      </c>
      <c r="M446" s="170"/>
      <c r="N446" s="170"/>
      <c r="O446" s="222" t="s">
        <v>1131</v>
      </c>
      <c r="P446" s="170"/>
      <c r="Q446" s="170"/>
      <c r="R446" s="170"/>
      <c r="S446" s="170"/>
    </row>
    <row r="447" spans="1:19">
      <c r="A447" s="176"/>
      <c r="B447" s="166"/>
      <c r="C447" s="166"/>
      <c r="D447" s="175" t="s">
        <v>1131</v>
      </c>
      <c r="G447" s="170"/>
      <c r="H447" s="186"/>
      <c r="I447" s="175"/>
      <c r="J447" s="192">
        <v>8</v>
      </c>
      <c r="K447" s="170"/>
      <c r="L447" s="185" t="s">
        <v>1412</v>
      </c>
      <c r="M447" s="170"/>
      <c r="N447" s="170"/>
      <c r="O447" s="222" t="s">
        <v>1131</v>
      </c>
      <c r="P447" s="170"/>
      <c r="Q447" s="170"/>
      <c r="R447" s="170"/>
      <c r="S447" s="170"/>
    </row>
    <row r="448" spans="1:19">
      <c r="A448" s="176"/>
      <c r="B448" s="166"/>
      <c r="C448" s="166"/>
      <c r="D448" s="175" t="s">
        <v>1131</v>
      </c>
      <c r="G448" s="170"/>
      <c r="H448" s="186"/>
      <c r="I448" s="175"/>
      <c r="J448" s="192">
        <v>9</v>
      </c>
      <c r="K448" s="170"/>
      <c r="L448" s="185" t="s">
        <v>1404</v>
      </c>
      <c r="M448" s="170"/>
      <c r="N448" s="170"/>
      <c r="O448" s="222" t="s">
        <v>1131</v>
      </c>
      <c r="P448" s="170"/>
      <c r="Q448" s="170"/>
      <c r="R448" s="170"/>
      <c r="S448" s="170"/>
    </row>
    <row r="449" spans="1:19">
      <c r="A449" s="176"/>
      <c r="B449" s="166"/>
      <c r="C449" s="166"/>
      <c r="D449" s="175" t="s">
        <v>1131</v>
      </c>
      <c r="G449" s="170"/>
      <c r="H449" s="186"/>
      <c r="I449" s="175"/>
      <c r="J449" s="192">
        <v>10</v>
      </c>
      <c r="K449" s="170"/>
      <c r="L449" s="185" t="s">
        <v>1421</v>
      </c>
      <c r="M449" s="170"/>
      <c r="N449" s="170"/>
      <c r="O449" s="222" t="s">
        <v>1131</v>
      </c>
      <c r="P449" s="170"/>
      <c r="Q449" s="170"/>
      <c r="R449" s="170"/>
      <c r="S449" s="170"/>
    </row>
    <row r="450" spans="1:19">
      <c r="A450" s="176"/>
      <c r="B450" s="166"/>
      <c r="C450" s="166"/>
      <c r="D450" s="175" t="s">
        <v>1131</v>
      </c>
      <c r="G450" s="170"/>
      <c r="H450" s="186"/>
      <c r="I450" s="175"/>
      <c r="J450" s="192">
        <v>11</v>
      </c>
      <c r="K450" s="170"/>
      <c r="L450" s="185" t="s">
        <v>1413</v>
      </c>
      <c r="M450" s="170"/>
      <c r="N450" s="170"/>
      <c r="O450" s="222" t="s">
        <v>1131</v>
      </c>
      <c r="P450" s="170"/>
      <c r="Q450" s="170"/>
      <c r="R450" s="170"/>
      <c r="S450" s="170"/>
    </row>
    <row r="451" spans="1:19">
      <c r="A451" s="176"/>
      <c r="B451" s="166"/>
      <c r="C451" s="166"/>
      <c r="D451" s="175" t="s">
        <v>1131</v>
      </c>
      <c r="G451" s="170"/>
      <c r="H451" s="186"/>
      <c r="I451" s="175"/>
      <c r="J451" s="192">
        <v>12</v>
      </c>
      <c r="K451" s="170"/>
      <c r="L451" s="185" t="s">
        <v>1422</v>
      </c>
      <c r="M451" s="170"/>
      <c r="N451" s="170"/>
      <c r="O451" s="222" t="s">
        <v>1131</v>
      </c>
      <c r="P451" s="170"/>
      <c r="Q451" s="170"/>
      <c r="R451" s="170"/>
      <c r="S451" s="170"/>
    </row>
    <row r="452" spans="1:19">
      <c r="A452" s="176"/>
      <c r="B452" s="166"/>
      <c r="C452" s="166"/>
      <c r="D452" s="175" t="s">
        <v>1131</v>
      </c>
      <c r="G452" s="170"/>
      <c r="H452" s="186"/>
      <c r="I452" s="175"/>
      <c r="J452" s="192">
        <v>13</v>
      </c>
      <c r="K452" s="170"/>
      <c r="L452" s="185" t="s">
        <v>1414</v>
      </c>
      <c r="M452" s="170"/>
      <c r="N452" s="170"/>
      <c r="O452" s="222" t="s">
        <v>1131</v>
      </c>
      <c r="P452" s="170"/>
      <c r="Q452" s="170"/>
      <c r="R452" s="170"/>
      <c r="S452" s="170"/>
    </row>
    <row r="453" spans="1:19">
      <c r="A453" s="176"/>
      <c r="B453" s="166"/>
      <c r="C453" s="166"/>
      <c r="D453" s="175" t="s">
        <v>1131</v>
      </c>
      <c r="G453" s="170"/>
      <c r="H453" s="186"/>
      <c r="I453" s="200"/>
      <c r="J453" s="195">
        <v>14</v>
      </c>
      <c r="K453" s="196"/>
      <c r="L453" s="197" t="s">
        <v>1423</v>
      </c>
      <c r="M453" s="196"/>
      <c r="N453" s="196"/>
      <c r="O453" s="240" t="s">
        <v>1131</v>
      </c>
      <c r="P453" s="170"/>
      <c r="Q453" s="170"/>
      <c r="R453" s="170"/>
      <c r="S453" s="170"/>
    </row>
    <row r="454" spans="1:19">
      <c r="A454" s="176"/>
      <c r="B454" s="166"/>
      <c r="C454" s="166"/>
      <c r="D454" s="175"/>
      <c r="G454" s="170"/>
      <c r="H454" s="186"/>
      <c r="I454" s="195" t="s">
        <v>1128</v>
      </c>
      <c r="J454" s="175"/>
      <c r="K454" s="185" t="s">
        <v>1424</v>
      </c>
      <c r="L454" s="170"/>
      <c r="M454" s="170"/>
      <c r="N454" s="170"/>
      <c r="O454" s="222"/>
      <c r="P454" s="170"/>
      <c r="Q454" s="170"/>
      <c r="R454" s="170"/>
      <c r="S454" s="170"/>
    </row>
    <row r="455" spans="1:19">
      <c r="A455" s="176"/>
      <c r="B455" s="166"/>
      <c r="C455" s="166"/>
      <c r="D455" s="175" t="s">
        <v>1131</v>
      </c>
      <c r="G455" s="170"/>
      <c r="H455" s="186"/>
      <c r="I455" s="175"/>
      <c r="J455" s="192">
        <v>1</v>
      </c>
      <c r="K455" s="170"/>
      <c r="L455" s="185" t="s">
        <v>1229</v>
      </c>
      <c r="M455" s="170"/>
      <c r="N455" s="170"/>
      <c r="O455" s="222" t="s">
        <v>1131</v>
      </c>
      <c r="P455" s="170"/>
      <c r="Q455" s="170"/>
      <c r="R455" s="170"/>
      <c r="S455" s="170"/>
    </row>
    <row r="456" spans="1:19">
      <c r="A456" s="176"/>
      <c r="B456" s="166"/>
      <c r="C456" s="166"/>
      <c r="D456" s="175" t="s">
        <v>1131</v>
      </c>
      <c r="G456" s="170"/>
      <c r="H456" s="186"/>
      <c r="I456" s="175"/>
      <c r="J456" s="192">
        <v>2</v>
      </c>
      <c r="K456" s="170"/>
      <c r="L456" s="185" t="s">
        <v>1416</v>
      </c>
      <c r="M456" s="170"/>
      <c r="N456" s="170"/>
      <c r="O456" s="222" t="s">
        <v>1131</v>
      </c>
      <c r="P456" s="170"/>
      <c r="Q456" s="170"/>
      <c r="R456" s="170"/>
      <c r="S456" s="170"/>
    </row>
    <row r="457" spans="1:19">
      <c r="A457" s="176"/>
      <c r="B457" s="166"/>
      <c r="C457" s="166"/>
      <c r="D457" s="175" t="s">
        <v>1131</v>
      </c>
      <c r="G457" s="170"/>
      <c r="H457" s="186"/>
      <c r="I457" s="175"/>
      <c r="J457" s="192">
        <v>3</v>
      </c>
      <c r="K457" s="170"/>
      <c r="L457" s="185" t="s">
        <v>1417</v>
      </c>
      <c r="M457" s="170"/>
      <c r="N457" s="170"/>
      <c r="O457" s="222" t="s">
        <v>1131</v>
      </c>
      <c r="P457" s="170"/>
      <c r="Q457" s="170"/>
      <c r="R457" s="170"/>
      <c r="S457" s="170"/>
    </row>
    <row r="458" spans="1:19">
      <c r="A458" s="176"/>
      <c r="B458" s="166"/>
      <c r="C458" s="166"/>
      <c r="D458" s="175" t="s">
        <v>1131</v>
      </c>
      <c r="G458" s="170"/>
      <c r="H458" s="186"/>
      <c r="I458" s="175"/>
      <c r="J458" s="192">
        <v>4</v>
      </c>
      <c r="K458" s="170"/>
      <c r="L458" s="185" t="s">
        <v>1418</v>
      </c>
      <c r="M458" s="170"/>
      <c r="N458" s="170"/>
      <c r="O458" s="222" t="s">
        <v>1131</v>
      </c>
      <c r="P458" s="170"/>
      <c r="Q458" s="170"/>
      <c r="R458" s="170"/>
      <c r="S458" s="170"/>
    </row>
    <row r="459" spans="1:19">
      <c r="A459" s="176"/>
      <c r="B459" s="166"/>
      <c r="C459" s="166"/>
      <c r="D459" s="175" t="s">
        <v>1131</v>
      </c>
      <c r="G459" s="170"/>
      <c r="H459" s="186"/>
      <c r="I459" s="175"/>
      <c r="J459" s="192">
        <v>5</v>
      </c>
      <c r="K459" s="170"/>
      <c r="L459" s="185" t="s">
        <v>1282</v>
      </c>
      <c r="M459" s="170"/>
      <c r="N459" s="170"/>
      <c r="O459" s="222" t="s">
        <v>1131</v>
      </c>
      <c r="P459" s="170"/>
      <c r="Q459" s="170"/>
      <c r="R459" s="170"/>
      <c r="S459" s="170"/>
    </row>
    <row r="460" spans="1:19">
      <c r="A460" s="176"/>
      <c r="B460" s="166"/>
      <c r="C460" s="166"/>
      <c r="D460" s="175" t="s">
        <v>1131</v>
      </c>
      <c r="G460" s="170"/>
      <c r="H460" s="186"/>
      <c r="I460" s="175"/>
      <c r="J460" s="192">
        <v>6</v>
      </c>
      <c r="K460" s="170"/>
      <c r="L460" s="185" t="s">
        <v>1430</v>
      </c>
      <c r="M460" s="170"/>
      <c r="N460" s="170"/>
      <c r="O460" s="222" t="s">
        <v>1131</v>
      </c>
      <c r="P460" s="170"/>
      <c r="Q460" s="170"/>
      <c r="R460" s="170"/>
      <c r="S460" s="170"/>
    </row>
    <row r="461" spans="1:19">
      <c r="A461" s="176"/>
      <c r="B461" s="166"/>
      <c r="C461" s="166"/>
      <c r="D461" s="175" t="s">
        <v>1131</v>
      </c>
      <c r="G461" s="170"/>
      <c r="H461" s="186"/>
      <c r="I461" s="175"/>
      <c r="J461" s="192">
        <v>7</v>
      </c>
      <c r="K461" s="170"/>
      <c r="L461" s="185" t="s">
        <v>1419</v>
      </c>
      <c r="M461" s="170"/>
      <c r="N461" s="170"/>
      <c r="O461" s="222" t="s">
        <v>1131</v>
      </c>
      <c r="P461" s="170"/>
      <c r="Q461" s="170"/>
      <c r="R461" s="170"/>
      <c r="S461" s="170"/>
    </row>
    <row r="462" spans="1:19">
      <c r="A462" s="176"/>
      <c r="B462" s="166"/>
      <c r="C462" s="166"/>
      <c r="D462" s="175" t="s">
        <v>1131</v>
      </c>
      <c r="G462" s="170"/>
      <c r="H462" s="186"/>
      <c r="I462" s="175"/>
      <c r="J462" s="192">
        <v>8</v>
      </c>
      <c r="K462" s="170"/>
      <c r="L462" s="185" t="s">
        <v>1420</v>
      </c>
      <c r="M462" s="170"/>
      <c r="N462" s="170"/>
      <c r="O462" s="222" t="s">
        <v>1131</v>
      </c>
      <c r="P462" s="170"/>
      <c r="Q462" s="170"/>
      <c r="R462" s="170"/>
      <c r="S462" s="170"/>
    </row>
    <row r="463" spans="1:19">
      <c r="A463" s="176"/>
      <c r="B463" s="166"/>
      <c r="C463" s="166"/>
      <c r="D463" s="175" t="s">
        <v>1131</v>
      </c>
      <c r="G463" s="170"/>
      <c r="H463" s="186"/>
      <c r="I463" s="175"/>
      <c r="J463" s="192">
        <v>9</v>
      </c>
      <c r="K463" s="170"/>
      <c r="L463" s="185" t="s">
        <v>1412</v>
      </c>
      <c r="M463" s="170"/>
      <c r="N463" s="170"/>
      <c r="O463" s="222" t="s">
        <v>1131</v>
      </c>
      <c r="P463" s="170"/>
      <c r="Q463" s="170"/>
      <c r="R463" s="170"/>
      <c r="S463" s="170"/>
    </row>
    <row r="464" spans="1:19">
      <c r="A464" s="176"/>
      <c r="B464" s="166"/>
      <c r="C464" s="166"/>
      <c r="D464" s="175" t="s">
        <v>1131</v>
      </c>
      <c r="G464" s="170"/>
      <c r="H464" s="186"/>
      <c r="I464" s="175"/>
      <c r="J464" s="192">
        <v>10</v>
      </c>
      <c r="K464" s="170"/>
      <c r="L464" s="185" t="s">
        <v>1404</v>
      </c>
      <c r="M464" s="170"/>
      <c r="N464" s="170"/>
      <c r="O464" s="222" t="s">
        <v>1131</v>
      </c>
      <c r="P464" s="170"/>
      <c r="Q464" s="170"/>
      <c r="R464" s="170"/>
      <c r="S464" s="170"/>
    </row>
    <row r="465" spans="1:19">
      <c r="A465" s="176"/>
      <c r="B465" s="166"/>
      <c r="C465" s="166"/>
      <c r="D465" s="175" t="s">
        <v>1131</v>
      </c>
      <c r="G465" s="170"/>
      <c r="H465" s="186"/>
      <c r="I465" s="175"/>
      <c r="J465" s="192">
        <v>11</v>
      </c>
      <c r="K465" s="170"/>
      <c r="L465" s="185" t="s">
        <v>1421</v>
      </c>
      <c r="M465" s="170"/>
      <c r="N465" s="170"/>
      <c r="O465" s="222" t="s">
        <v>1131</v>
      </c>
      <c r="P465" s="170"/>
      <c r="Q465" s="170"/>
      <c r="R465" s="170"/>
      <c r="S465" s="170"/>
    </row>
    <row r="466" spans="1:19">
      <c r="A466" s="176"/>
      <c r="B466" s="166"/>
      <c r="C466" s="166"/>
      <c r="D466" s="175" t="s">
        <v>1131</v>
      </c>
      <c r="G466" s="170"/>
      <c r="H466" s="186"/>
      <c r="I466" s="175"/>
      <c r="J466" s="192">
        <v>12</v>
      </c>
      <c r="K466" s="170"/>
      <c r="L466" s="185" t="s">
        <v>1413</v>
      </c>
      <c r="M466" s="170"/>
      <c r="N466" s="170"/>
      <c r="O466" s="222" t="s">
        <v>1131</v>
      </c>
      <c r="P466" s="170"/>
      <c r="Q466" s="170"/>
      <c r="R466" s="170"/>
      <c r="S466" s="170"/>
    </row>
    <row r="467" spans="1:19">
      <c r="A467" s="176"/>
      <c r="B467" s="166"/>
      <c r="C467" s="166"/>
      <c r="D467" s="175" t="s">
        <v>1131</v>
      </c>
      <c r="G467" s="170"/>
      <c r="H467" s="186"/>
      <c r="I467" s="175"/>
      <c r="J467" s="192">
        <v>13</v>
      </c>
      <c r="K467" s="185"/>
      <c r="L467" s="185" t="s">
        <v>1422</v>
      </c>
      <c r="M467" s="170"/>
      <c r="N467" s="170"/>
      <c r="O467" s="222" t="s">
        <v>1131</v>
      </c>
      <c r="P467" s="170"/>
      <c r="Q467" s="170"/>
      <c r="R467" s="170"/>
      <c r="S467" s="170"/>
    </row>
    <row r="468" spans="1:19">
      <c r="A468" s="176"/>
      <c r="B468" s="166"/>
      <c r="C468" s="166"/>
      <c r="D468" s="175" t="s">
        <v>1131</v>
      </c>
      <c r="G468" s="170"/>
      <c r="H468" s="186"/>
      <c r="I468" s="175"/>
      <c r="J468" s="192">
        <v>14</v>
      </c>
      <c r="K468" s="170"/>
      <c r="L468" s="185" t="s">
        <v>1414</v>
      </c>
      <c r="M468" s="170"/>
      <c r="N468" s="170"/>
      <c r="O468" s="222" t="s">
        <v>1131</v>
      </c>
      <c r="P468" s="170"/>
      <c r="Q468" s="170"/>
      <c r="R468" s="170"/>
      <c r="S468" s="170"/>
    </row>
    <row r="469" spans="1:19">
      <c r="A469" s="176"/>
      <c r="B469" s="166"/>
      <c r="C469" s="166"/>
      <c r="D469" s="175" t="s">
        <v>1131</v>
      </c>
      <c r="G469" s="170"/>
      <c r="H469" s="186"/>
      <c r="I469" s="175"/>
      <c r="J469" s="192">
        <v>15</v>
      </c>
      <c r="K469" s="170"/>
      <c r="L469" s="185" t="s">
        <v>1406</v>
      </c>
      <c r="M469" s="170"/>
      <c r="N469" s="170"/>
      <c r="O469" s="222" t="s">
        <v>1131</v>
      </c>
      <c r="P469" s="170"/>
      <c r="Q469" s="170"/>
      <c r="R469" s="170"/>
      <c r="S469" s="170"/>
    </row>
    <row r="470" spans="1:19">
      <c r="A470" s="176"/>
      <c r="B470" s="166"/>
      <c r="C470" s="166"/>
      <c r="D470" s="175" t="s">
        <v>1131</v>
      </c>
      <c r="G470" s="170"/>
      <c r="H470" s="186"/>
      <c r="I470" s="175"/>
      <c r="J470" s="192">
        <v>16</v>
      </c>
      <c r="K470" s="170"/>
      <c r="L470" s="185" t="s">
        <v>1423</v>
      </c>
      <c r="M470" s="170"/>
      <c r="N470" s="170"/>
      <c r="O470" s="222" t="s">
        <v>1131</v>
      </c>
      <c r="P470" s="170"/>
      <c r="Q470" s="170"/>
      <c r="R470" s="170"/>
      <c r="S470" s="170"/>
    </row>
    <row r="471" spans="1:19">
      <c r="A471" s="176"/>
      <c r="B471" s="166"/>
      <c r="C471" s="166"/>
      <c r="D471" s="175"/>
      <c r="G471" s="170"/>
      <c r="H471" s="186"/>
      <c r="I471" s="187" t="s">
        <v>1132</v>
      </c>
      <c r="J471" s="188"/>
      <c r="K471" s="199" t="s">
        <v>1426</v>
      </c>
      <c r="L471" s="190"/>
      <c r="M471" s="190"/>
      <c r="N471" s="190"/>
      <c r="O471" s="231"/>
      <c r="P471" s="170"/>
      <c r="Q471" s="170"/>
      <c r="R471" s="170"/>
      <c r="S471" s="170"/>
    </row>
    <row r="472" spans="1:19">
      <c r="A472" s="176"/>
      <c r="B472" s="166"/>
      <c r="C472" s="166"/>
      <c r="D472" s="175" t="s">
        <v>1131</v>
      </c>
      <c r="G472" s="170"/>
      <c r="H472" s="186"/>
      <c r="I472" s="175"/>
      <c r="J472" s="192">
        <v>1</v>
      </c>
      <c r="K472" s="170"/>
      <c r="L472" s="185" t="s">
        <v>1417</v>
      </c>
      <c r="M472" s="170"/>
      <c r="N472" s="170"/>
      <c r="O472" s="222" t="s">
        <v>1131</v>
      </c>
      <c r="P472" s="170"/>
      <c r="Q472" s="170"/>
      <c r="R472" s="170"/>
      <c r="S472" s="170"/>
    </row>
    <row r="473" spans="1:19">
      <c r="A473" s="176"/>
      <c r="B473" s="166"/>
      <c r="C473" s="166"/>
      <c r="D473" s="175" t="s">
        <v>1131</v>
      </c>
      <c r="G473" s="170"/>
      <c r="H473" s="186"/>
      <c r="I473" s="175"/>
      <c r="J473" s="192">
        <v>2</v>
      </c>
      <c r="K473" s="170"/>
      <c r="L473" s="185" t="s">
        <v>1418</v>
      </c>
      <c r="M473" s="170"/>
      <c r="N473" s="170"/>
      <c r="O473" s="222" t="s">
        <v>1131</v>
      </c>
      <c r="P473" s="170"/>
      <c r="Q473" s="170"/>
      <c r="R473" s="170"/>
      <c r="S473" s="170"/>
    </row>
    <row r="474" spans="1:19">
      <c r="A474" s="176"/>
      <c r="B474" s="166"/>
      <c r="C474" s="166"/>
      <c r="D474" s="175" t="s">
        <v>1131</v>
      </c>
      <c r="G474" s="170"/>
      <c r="H474" s="186"/>
      <c r="I474" s="175"/>
      <c r="J474" s="192">
        <v>3</v>
      </c>
      <c r="K474" s="170"/>
      <c r="L474" s="185" t="s">
        <v>1282</v>
      </c>
      <c r="M474" s="170"/>
      <c r="N474" s="170"/>
      <c r="O474" s="222" t="s">
        <v>1131</v>
      </c>
      <c r="P474" s="170"/>
      <c r="Q474" s="170"/>
      <c r="R474" s="170"/>
      <c r="S474" s="170"/>
    </row>
    <row r="475" spans="1:19">
      <c r="A475" s="176"/>
      <c r="B475" s="166"/>
      <c r="C475" s="166"/>
      <c r="D475" s="175" t="s">
        <v>1131</v>
      </c>
      <c r="G475" s="170"/>
      <c r="H475" s="186"/>
      <c r="I475" s="175"/>
      <c r="J475" s="192">
        <v>4</v>
      </c>
      <c r="K475" s="170"/>
      <c r="L475" s="185" t="s">
        <v>1419</v>
      </c>
      <c r="M475" s="170"/>
      <c r="N475" s="170"/>
      <c r="O475" s="222" t="s">
        <v>1131</v>
      </c>
      <c r="P475" s="170"/>
      <c r="Q475" s="170"/>
      <c r="R475" s="170"/>
      <c r="S475" s="170"/>
    </row>
    <row r="476" spans="1:19">
      <c r="A476" s="176"/>
      <c r="B476" s="166"/>
      <c r="C476" s="166"/>
      <c r="D476" s="175" t="s">
        <v>1131</v>
      </c>
      <c r="G476" s="170"/>
      <c r="H476" s="186"/>
      <c r="I476" s="175"/>
      <c r="J476" s="192">
        <v>5</v>
      </c>
      <c r="K476" s="170"/>
      <c r="L476" s="185" t="s">
        <v>1420</v>
      </c>
      <c r="M476" s="170"/>
      <c r="N476" s="170"/>
      <c r="O476" s="222" t="s">
        <v>1131</v>
      </c>
      <c r="P476" s="170"/>
      <c r="Q476" s="170"/>
      <c r="R476" s="170"/>
      <c r="S476" s="170"/>
    </row>
    <row r="477" spans="1:19">
      <c r="A477" s="176"/>
      <c r="B477" s="166"/>
      <c r="C477" s="166"/>
      <c r="D477" s="175" t="s">
        <v>1131</v>
      </c>
      <c r="G477" s="170"/>
      <c r="H477" s="186"/>
      <c r="I477" s="175"/>
      <c r="J477" s="192">
        <v>6</v>
      </c>
      <c r="K477" s="170"/>
      <c r="L477" s="185" t="s">
        <v>1404</v>
      </c>
      <c r="M477" s="170"/>
      <c r="N477" s="170"/>
      <c r="O477" s="222" t="s">
        <v>1131</v>
      </c>
      <c r="P477" s="170"/>
      <c r="Q477" s="170"/>
      <c r="R477" s="170"/>
      <c r="S477" s="170"/>
    </row>
    <row r="478" spans="1:19">
      <c r="A478" s="176"/>
      <c r="B478" s="166"/>
      <c r="C478" s="166"/>
      <c r="D478" s="175" t="s">
        <v>1131</v>
      </c>
      <c r="G478" s="170"/>
      <c r="H478" s="186"/>
      <c r="I478" s="175"/>
      <c r="J478" s="192">
        <v>7</v>
      </c>
      <c r="K478" s="170"/>
      <c r="L478" s="185" t="s">
        <v>1421</v>
      </c>
      <c r="M478" s="170"/>
      <c r="N478" s="170"/>
      <c r="O478" s="222" t="s">
        <v>1131</v>
      </c>
      <c r="P478" s="170"/>
      <c r="Q478" s="170"/>
      <c r="R478" s="170"/>
      <c r="S478" s="170"/>
    </row>
    <row r="479" spans="1:19">
      <c r="A479" s="176"/>
      <c r="B479" s="166"/>
      <c r="C479" s="166"/>
      <c r="D479" s="175" t="s">
        <v>1131</v>
      </c>
      <c r="G479" s="170"/>
      <c r="H479" s="186"/>
      <c r="I479" s="175"/>
      <c r="J479" s="192">
        <v>8</v>
      </c>
      <c r="K479" s="170"/>
      <c r="L479" s="185" t="s">
        <v>1413</v>
      </c>
      <c r="M479" s="170"/>
      <c r="N479" s="170"/>
      <c r="O479" s="222" t="s">
        <v>1131</v>
      </c>
      <c r="P479" s="170"/>
      <c r="Q479" s="170"/>
      <c r="R479" s="170"/>
      <c r="S479" s="170"/>
    </row>
    <row r="480" spans="1:19">
      <c r="A480" s="176"/>
      <c r="B480" s="166"/>
      <c r="C480" s="166"/>
      <c r="D480" s="175" t="s">
        <v>1131</v>
      </c>
      <c r="G480" s="170"/>
      <c r="H480" s="186"/>
      <c r="I480" s="175"/>
      <c r="J480" s="192">
        <v>9</v>
      </c>
      <c r="K480" s="170"/>
      <c r="L480" s="185" t="s">
        <v>1422</v>
      </c>
      <c r="M480" s="170"/>
      <c r="N480" s="170"/>
      <c r="O480" s="222" t="s">
        <v>1131</v>
      </c>
      <c r="P480" s="170"/>
      <c r="Q480" s="170"/>
      <c r="R480" s="170"/>
      <c r="S480" s="170"/>
    </row>
    <row r="481" spans="1:19" ht="15.75" thickBot="1">
      <c r="A481" s="176"/>
      <c r="B481" s="166"/>
      <c r="C481" s="166"/>
      <c r="D481" s="175" t="s">
        <v>1131</v>
      </c>
      <c r="G481" s="170"/>
      <c r="H481" s="232"/>
      <c r="I481" s="233"/>
      <c r="J481" s="234">
        <v>10</v>
      </c>
      <c r="K481" s="235"/>
      <c r="L481" s="236" t="s">
        <v>1423</v>
      </c>
      <c r="M481" s="235"/>
      <c r="N481" s="235"/>
      <c r="O481" s="268" t="s">
        <v>1131</v>
      </c>
      <c r="P481" s="170"/>
      <c r="Q481" s="170"/>
      <c r="R481" s="170"/>
      <c r="S481" s="170"/>
    </row>
    <row r="482" spans="1:19">
      <c r="A482" s="176"/>
      <c r="B482" s="166"/>
      <c r="C482" s="166"/>
      <c r="D482" s="175"/>
      <c r="G482" s="170"/>
      <c r="H482" s="238"/>
      <c r="I482" s="175"/>
      <c r="J482" s="175"/>
      <c r="K482" s="170"/>
      <c r="L482" s="185"/>
      <c r="M482" s="170"/>
      <c r="N482" s="170"/>
      <c r="O482" s="173"/>
      <c r="P482" s="170"/>
      <c r="Q482" s="170"/>
      <c r="R482" s="170"/>
      <c r="S482" s="170"/>
    </row>
    <row r="483" spans="1:19">
      <c r="A483" s="176">
        <v>45</v>
      </c>
      <c r="B483" s="166" t="s">
        <v>1431</v>
      </c>
      <c r="C483" s="166" t="s">
        <v>1432</v>
      </c>
      <c r="D483" s="175"/>
      <c r="G483" s="170"/>
      <c r="H483" s="208">
        <v>45</v>
      </c>
      <c r="I483" s="210"/>
      <c r="J483" s="220"/>
      <c r="K483" s="265" t="s">
        <v>1432</v>
      </c>
      <c r="L483" s="220"/>
      <c r="M483" s="220"/>
      <c r="N483" s="220"/>
      <c r="O483" s="230"/>
      <c r="P483" s="170"/>
      <c r="Q483" s="184">
        <f>H483</f>
        <v>45</v>
      </c>
      <c r="R483" s="175" t="str">
        <f>CONCATENATE("II-",TEXT(Q483,"0000"))</f>
        <v>II-0045</v>
      </c>
      <c r="S483" s="185" t="str">
        <f>K483</f>
        <v>HORMIGON  PUZOLANICO EXCLUIDA LA ARAMDURA</v>
      </c>
    </row>
    <row r="484" spans="1:19">
      <c r="A484" s="176"/>
      <c r="B484" s="166"/>
      <c r="C484" s="166"/>
      <c r="D484" s="175"/>
      <c r="G484" s="170"/>
      <c r="H484" s="186"/>
      <c r="I484" s="187" t="s">
        <v>1020</v>
      </c>
      <c r="J484" s="188"/>
      <c r="K484" s="199" t="s">
        <v>1398</v>
      </c>
      <c r="L484" s="190"/>
      <c r="M484" s="190"/>
      <c r="N484" s="190"/>
      <c r="O484" s="231"/>
      <c r="P484" s="170"/>
      <c r="Q484" s="170"/>
      <c r="R484" s="170"/>
      <c r="S484" s="170"/>
    </row>
    <row r="485" spans="1:19">
      <c r="A485" s="176"/>
      <c r="B485" s="166"/>
      <c r="C485" s="166"/>
      <c r="D485" s="175" t="s">
        <v>1131</v>
      </c>
      <c r="G485" s="170"/>
      <c r="H485" s="186"/>
      <c r="I485" s="175"/>
      <c r="J485" s="192">
        <v>1</v>
      </c>
      <c r="K485" s="170"/>
      <c r="L485" s="185" t="s">
        <v>1403</v>
      </c>
      <c r="M485" s="170"/>
      <c r="N485" s="170"/>
      <c r="O485" s="222" t="s">
        <v>1131</v>
      </c>
      <c r="P485" s="170"/>
      <c r="Q485" s="170"/>
      <c r="R485" s="170"/>
      <c r="S485" s="170"/>
    </row>
    <row r="486" spans="1:19">
      <c r="A486" s="176"/>
      <c r="B486" s="166"/>
      <c r="C486" s="166"/>
      <c r="D486" s="175" t="s">
        <v>1131</v>
      </c>
      <c r="G486" s="170"/>
      <c r="H486" s="186"/>
      <c r="I486" s="175"/>
      <c r="J486" s="192">
        <v>2</v>
      </c>
      <c r="K486" s="170"/>
      <c r="L486" s="185" t="s">
        <v>1405</v>
      </c>
      <c r="M486" s="170"/>
      <c r="N486" s="170"/>
      <c r="O486" s="222" t="s">
        <v>1131</v>
      </c>
      <c r="P486" s="170"/>
      <c r="Q486" s="170"/>
      <c r="R486" s="170"/>
      <c r="S486" s="170"/>
    </row>
    <row r="487" spans="1:19">
      <c r="A487" s="176"/>
      <c r="B487" s="166"/>
      <c r="C487" s="166"/>
      <c r="D487" s="175"/>
      <c r="G487" s="170"/>
      <c r="H487" s="186"/>
      <c r="I487" s="187" t="s">
        <v>1047</v>
      </c>
      <c r="J487" s="188"/>
      <c r="K487" s="199" t="s">
        <v>1402</v>
      </c>
      <c r="L487" s="190"/>
      <c r="M487" s="190"/>
      <c r="N487" s="190"/>
      <c r="O487" s="231"/>
      <c r="P487" s="170"/>
      <c r="Q487" s="170"/>
      <c r="R487" s="170"/>
      <c r="S487" s="170"/>
    </row>
    <row r="488" spans="1:19">
      <c r="A488" s="176"/>
      <c r="B488" s="166"/>
      <c r="C488" s="166"/>
      <c r="D488" s="175" t="s">
        <v>1131</v>
      </c>
      <c r="G488" s="170"/>
      <c r="H488" s="186"/>
      <c r="I488" s="175"/>
      <c r="J488" s="192">
        <v>1</v>
      </c>
      <c r="K488" s="170"/>
      <c r="L488" s="185" t="s">
        <v>1403</v>
      </c>
      <c r="M488" s="170"/>
      <c r="N488" s="170"/>
      <c r="O488" s="222" t="s">
        <v>1131</v>
      </c>
      <c r="P488" s="170"/>
      <c r="Q488" s="170"/>
      <c r="R488" s="170"/>
      <c r="S488" s="170"/>
    </row>
    <row r="489" spans="1:19">
      <c r="A489" s="176"/>
      <c r="B489" s="166"/>
      <c r="C489" s="166"/>
      <c r="D489" s="175" t="s">
        <v>1131</v>
      </c>
      <c r="G489" s="170"/>
      <c r="H489" s="186"/>
      <c r="I489" s="175"/>
      <c r="J489" s="192">
        <v>2</v>
      </c>
      <c r="K489" s="170"/>
      <c r="L489" s="185" t="s">
        <v>1405</v>
      </c>
      <c r="M489" s="170"/>
      <c r="N489" s="170"/>
      <c r="O489" s="222" t="s">
        <v>1131</v>
      </c>
      <c r="P489" s="170"/>
      <c r="Q489" s="170"/>
      <c r="R489" s="170"/>
      <c r="S489" s="170"/>
    </row>
    <row r="490" spans="1:19">
      <c r="A490" s="176"/>
      <c r="B490" s="166"/>
      <c r="C490" s="166"/>
      <c r="D490" s="175" t="s">
        <v>1131</v>
      </c>
      <c r="G490" s="170"/>
      <c r="H490" s="186"/>
      <c r="I490" s="175"/>
      <c r="J490" s="192">
        <v>3</v>
      </c>
      <c r="K490" s="170"/>
      <c r="L490" s="185" t="s">
        <v>1414</v>
      </c>
      <c r="M490" s="170"/>
      <c r="N490" s="170"/>
      <c r="O490" s="222" t="s">
        <v>1131</v>
      </c>
      <c r="P490" s="170"/>
      <c r="Q490" s="170"/>
      <c r="R490" s="170"/>
      <c r="S490" s="170"/>
    </row>
    <row r="491" spans="1:19">
      <c r="A491" s="176"/>
      <c r="B491" s="166"/>
      <c r="C491" s="166"/>
      <c r="D491" s="175"/>
      <c r="G491" s="170"/>
      <c r="H491" s="186"/>
      <c r="I491" s="187" t="s">
        <v>1057</v>
      </c>
      <c r="J491" s="188"/>
      <c r="K491" s="199" t="s">
        <v>1407</v>
      </c>
      <c r="L491" s="190"/>
      <c r="M491" s="190"/>
      <c r="N491" s="190"/>
      <c r="O491" s="231"/>
      <c r="P491" s="170"/>
      <c r="Q491" s="170"/>
      <c r="R491" s="170"/>
      <c r="S491" s="170"/>
    </row>
    <row r="492" spans="1:19">
      <c r="A492" s="176"/>
      <c r="B492" s="166"/>
      <c r="C492" s="166"/>
      <c r="D492" s="175" t="s">
        <v>1131</v>
      </c>
      <c r="G492" s="170"/>
      <c r="H492" s="186"/>
      <c r="I492" s="175"/>
      <c r="J492" s="192">
        <v>1</v>
      </c>
      <c r="K492" s="170"/>
      <c r="L492" s="185" t="s">
        <v>1403</v>
      </c>
      <c r="M492" s="170"/>
      <c r="N492" s="170"/>
      <c r="O492" s="222" t="s">
        <v>1131</v>
      </c>
      <c r="P492" s="170"/>
      <c r="Q492" s="170"/>
      <c r="R492" s="170"/>
      <c r="S492" s="170"/>
    </row>
    <row r="493" spans="1:19">
      <c r="A493" s="176"/>
      <c r="B493" s="166"/>
      <c r="C493" s="166"/>
      <c r="D493" s="175" t="s">
        <v>1131</v>
      </c>
      <c r="G493" s="170"/>
      <c r="H493" s="186"/>
      <c r="I493" s="175"/>
      <c r="J493" s="192">
        <v>2</v>
      </c>
      <c r="K493" s="170"/>
      <c r="L493" s="185" t="s">
        <v>1340</v>
      </c>
      <c r="M493" s="170"/>
      <c r="N493" s="170"/>
      <c r="O493" s="222" t="s">
        <v>1131</v>
      </c>
      <c r="P493" s="170"/>
      <c r="Q493" s="170"/>
      <c r="R493" s="170"/>
      <c r="S493" s="170"/>
    </row>
    <row r="494" spans="1:19">
      <c r="A494" s="176"/>
      <c r="B494" s="166"/>
      <c r="C494" s="166"/>
      <c r="D494" s="175" t="s">
        <v>1131</v>
      </c>
      <c r="G494" s="170"/>
      <c r="H494" s="186"/>
      <c r="I494" s="175"/>
      <c r="J494" s="192">
        <v>3</v>
      </c>
      <c r="K494" s="170"/>
      <c r="L494" s="185" t="s">
        <v>1405</v>
      </c>
      <c r="M494" s="170"/>
      <c r="N494" s="170"/>
      <c r="O494" s="222" t="s">
        <v>1131</v>
      </c>
      <c r="P494" s="170"/>
      <c r="Q494" s="170"/>
      <c r="R494" s="170"/>
      <c r="S494" s="170"/>
    </row>
    <row r="495" spans="1:19">
      <c r="A495" s="176"/>
      <c r="B495" s="166"/>
      <c r="C495" s="166"/>
      <c r="D495" s="175" t="s">
        <v>1131</v>
      </c>
      <c r="G495" s="170"/>
      <c r="H495" s="186"/>
      <c r="I495" s="175"/>
      <c r="J495" s="192">
        <v>4</v>
      </c>
      <c r="K495" s="170"/>
      <c r="L495" s="185" t="s">
        <v>1414</v>
      </c>
      <c r="M495" s="170"/>
      <c r="N495" s="170"/>
      <c r="O495" s="222" t="s">
        <v>1131</v>
      </c>
      <c r="P495" s="170"/>
      <c r="Q495" s="170"/>
      <c r="R495" s="170"/>
      <c r="S495" s="170"/>
    </row>
    <row r="496" spans="1:19">
      <c r="A496" s="176"/>
      <c r="B496" s="166"/>
      <c r="C496" s="166"/>
      <c r="D496" s="175" t="s">
        <v>1131</v>
      </c>
      <c r="G496" s="170"/>
      <c r="H496" s="186"/>
      <c r="I496" s="175"/>
      <c r="J496" s="192">
        <v>5</v>
      </c>
      <c r="K496" s="170"/>
      <c r="L496" s="185" t="s">
        <v>1406</v>
      </c>
      <c r="M496" s="170"/>
      <c r="N496" s="170"/>
      <c r="O496" s="222" t="s">
        <v>1131</v>
      </c>
      <c r="P496" s="170"/>
      <c r="Q496" s="170"/>
      <c r="R496" s="170"/>
      <c r="S496" s="170"/>
    </row>
    <row r="497" spans="1:19">
      <c r="A497" s="176"/>
      <c r="B497" s="166"/>
      <c r="C497" s="166"/>
      <c r="D497" s="175"/>
      <c r="G497" s="170"/>
      <c r="H497" s="186"/>
      <c r="I497" s="187" t="s">
        <v>1083</v>
      </c>
      <c r="J497" s="188"/>
      <c r="K497" s="199" t="s">
        <v>1410</v>
      </c>
      <c r="L497" s="190"/>
      <c r="M497" s="190"/>
      <c r="N497" s="190"/>
      <c r="O497" s="231"/>
      <c r="P497" s="170"/>
      <c r="Q497" s="170"/>
      <c r="R497" s="170"/>
      <c r="S497" s="170"/>
    </row>
    <row r="498" spans="1:19">
      <c r="A498" s="176"/>
      <c r="B498" s="166"/>
      <c r="C498" s="166"/>
      <c r="D498" s="175" t="s">
        <v>1131</v>
      </c>
      <c r="G498" s="170"/>
      <c r="H498" s="186"/>
      <c r="I498" s="175"/>
      <c r="J498" s="192">
        <v>1</v>
      </c>
      <c r="K498" s="170"/>
      <c r="L498" s="185" t="s">
        <v>1408</v>
      </c>
      <c r="M498" s="170"/>
      <c r="N498" s="170"/>
      <c r="O498" s="222" t="s">
        <v>1131</v>
      </c>
      <c r="P498" s="170"/>
      <c r="Q498" s="170"/>
      <c r="R498" s="170"/>
      <c r="S498" s="170"/>
    </row>
    <row r="499" spans="1:19">
      <c r="A499" s="176"/>
      <c r="B499" s="166"/>
      <c r="C499" s="166"/>
      <c r="D499" s="175" t="s">
        <v>1131</v>
      </c>
      <c r="G499" s="170"/>
      <c r="H499" s="186"/>
      <c r="I499" s="175"/>
      <c r="J499" s="192">
        <v>2</v>
      </c>
      <c r="K499" s="170"/>
      <c r="L499" s="185" t="s">
        <v>1229</v>
      </c>
      <c r="M499" s="170"/>
      <c r="N499" s="170"/>
      <c r="O499" s="222" t="s">
        <v>1131</v>
      </c>
      <c r="P499" s="170"/>
      <c r="Q499" s="170"/>
      <c r="R499" s="170"/>
      <c r="S499" s="170"/>
    </row>
    <row r="500" spans="1:19">
      <c r="A500" s="176"/>
      <c r="B500" s="166"/>
      <c r="C500" s="166"/>
      <c r="D500" s="175" t="s">
        <v>1131</v>
      </c>
      <c r="G500" s="170"/>
      <c r="H500" s="186"/>
      <c r="I500" s="175"/>
      <c r="J500" s="192">
        <v>3</v>
      </c>
      <c r="K500" s="170"/>
      <c r="L500" s="185" t="s">
        <v>1403</v>
      </c>
      <c r="M500" s="170"/>
      <c r="N500" s="170"/>
      <c r="O500" s="222" t="s">
        <v>1131</v>
      </c>
      <c r="P500" s="170"/>
      <c r="Q500" s="170"/>
      <c r="R500" s="170"/>
      <c r="S500" s="170"/>
    </row>
    <row r="501" spans="1:19">
      <c r="A501" s="176"/>
      <c r="B501" s="166"/>
      <c r="C501" s="166"/>
      <c r="D501" s="175" t="s">
        <v>1131</v>
      </c>
      <c r="G501" s="170"/>
      <c r="H501" s="186"/>
      <c r="I501" s="175"/>
      <c r="J501" s="192">
        <v>4</v>
      </c>
      <c r="K501" s="170"/>
      <c r="L501" s="185" t="s">
        <v>1340</v>
      </c>
      <c r="M501" s="170"/>
      <c r="N501" s="170"/>
      <c r="O501" s="222" t="s">
        <v>1131</v>
      </c>
      <c r="P501" s="170"/>
      <c r="Q501" s="170"/>
      <c r="R501" s="170"/>
      <c r="S501" s="170"/>
    </row>
    <row r="502" spans="1:19">
      <c r="A502" s="176"/>
      <c r="B502" s="166"/>
      <c r="C502" s="166"/>
      <c r="D502" s="175" t="s">
        <v>1131</v>
      </c>
      <c r="G502" s="170"/>
      <c r="H502" s="186"/>
      <c r="I502" s="175"/>
      <c r="J502" s="192">
        <v>5</v>
      </c>
      <c r="K502" s="170"/>
      <c r="L502" s="185" t="s">
        <v>1405</v>
      </c>
      <c r="M502" s="170"/>
      <c r="N502" s="170"/>
      <c r="O502" s="222" t="s">
        <v>1131</v>
      </c>
      <c r="P502" s="170"/>
      <c r="Q502" s="170"/>
      <c r="R502" s="170"/>
      <c r="S502" s="170"/>
    </row>
    <row r="503" spans="1:19">
      <c r="A503" s="176"/>
      <c r="B503" s="166"/>
      <c r="C503" s="166"/>
      <c r="D503" s="175" t="s">
        <v>1131</v>
      </c>
      <c r="G503" s="170"/>
      <c r="H503" s="186"/>
      <c r="I503" s="175"/>
      <c r="J503" s="192">
        <v>6</v>
      </c>
      <c r="K503" s="170"/>
      <c r="L503" s="185" t="s">
        <v>1414</v>
      </c>
      <c r="M503" s="170"/>
      <c r="N503" s="170"/>
      <c r="O503" s="222" t="s">
        <v>1131</v>
      </c>
      <c r="P503" s="170"/>
      <c r="Q503" s="170"/>
      <c r="R503" s="170"/>
      <c r="S503" s="170"/>
    </row>
    <row r="504" spans="1:19">
      <c r="A504" s="176"/>
      <c r="B504" s="166"/>
      <c r="C504" s="166"/>
      <c r="D504" s="175" t="s">
        <v>1131</v>
      </c>
      <c r="G504" s="170"/>
      <c r="H504" s="186"/>
      <c r="I504" s="175"/>
      <c r="J504" s="192">
        <v>7</v>
      </c>
      <c r="K504" s="170"/>
      <c r="L504" s="185" t="s">
        <v>1406</v>
      </c>
      <c r="M504" s="170"/>
      <c r="N504" s="170"/>
      <c r="O504" s="222" t="s">
        <v>1131</v>
      </c>
      <c r="P504" s="170"/>
      <c r="Q504" s="170"/>
      <c r="R504" s="170"/>
      <c r="S504" s="170"/>
    </row>
    <row r="505" spans="1:19">
      <c r="A505" s="176"/>
      <c r="B505" s="166"/>
      <c r="C505" s="166"/>
      <c r="D505" s="175"/>
      <c r="G505" s="170"/>
      <c r="H505" s="186"/>
      <c r="I505" s="187" t="s">
        <v>1125</v>
      </c>
      <c r="J505" s="188"/>
      <c r="K505" s="199" t="s">
        <v>1415</v>
      </c>
      <c r="L505" s="190"/>
      <c r="M505" s="190"/>
      <c r="N505" s="190"/>
      <c r="O505" s="231"/>
      <c r="P505" s="170"/>
      <c r="Q505" s="170"/>
      <c r="R505" s="170"/>
      <c r="S505" s="170"/>
    </row>
    <row r="506" spans="1:19">
      <c r="A506" s="176"/>
      <c r="B506" s="166"/>
      <c r="C506" s="166"/>
      <c r="D506" s="175" t="s">
        <v>1131</v>
      </c>
      <c r="G506" s="170"/>
      <c r="H506" s="186"/>
      <c r="I506" s="175"/>
      <c r="J506" s="192">
        <v>1</v>
      </c>
      <c r="K506" s="170"/>
      <c r="L506" s="185" t="s">
        <v>1408</v>
      </c>
      <c r="M506" s="170"/>
      <c r="N506" s="170"/>
      <c r="O506" s="222" t="s">
        <v>1131</v>
      </c>
      <c r="P506" s="170"/>
      <c r="Q506" s="170"/>
      <c r="R506" s="170"/>
      <c r="S506" s="170"/>
    </row>
    <row r="507" spans="1:19">
      <c r="A507" s="176"/>
      <c r="B507" s="166"/>
      <c r="C507" s="166"/>
      <c r="D507" s="175" t="s">
        <v>1131</v>
      </c>
      <c r="G507" s="170"/>
      <c r="H507" s="186"/>
      <c r="I507" s="175"/>
      <c r="J507" s="192">
        <v>2</v>
      </c>
      <c r="K507" s="170"/>
      <c r="L507" s="185" t="s">
        <v>1229</v>
      </c>
      <c r="M507" s="170"/>
      <c r="N507" s="170"/>
      <c r="O507" s="222" t="s">
        <v>1131</v>
      </c>
      <c r="P507" s="170"/>
      <c r="Q507" s="170"/>
      <c r="R507" s="170"/>
      <c r="S507" s="170"/>
    </row>
    <row r="508" spans="1:19">
      <c r="A508" s="176"/>
      <c r="B508" s="166"/>
      <c r="C508" s="166"/>
      <c r="D508" s="175" t="s">
        <v>1131</v>
      </c>
      <c r="G508" s="170"/>
      <c r="H508" s="186"/>
      <c r="I508" s="175"/>
      <c r="J508" s="192">
        <v>3</v>
      </c>
      <c r="K508" s="170"/>
      <c r="L508" s="185" t="s">
        <v>1418</v>
      </c>
      <c r="M508" s="170"/>
      <c r="N508" s="170"/>
      <c r="O508" s="222" t="s">
        <v>1131</v>
      </c>
      <c r="P508" s="170"/>
      <c r="Q508" s="170"/>
      <c r="R508" s="170"/>
      <c r="S508" s="170"/>
    </row>
    <row r="509" spans="1:19">
      <c r="A509" s="176"/>
      <c r="B509" s="166"/>
      <c r="C509" s="166"/>
      <c r="D509" s="175" t="s">
        <v>1131</v>
      </c>
      <c r="G509" s="170"/>
      <c r="H509" s="186"/>
      <c r="I509" s="175"/>
      <c r="J509" s="192">
        <v>4</v>
      </c>
      <c r="K509" s="170"/>
      <c r="L509" s="185" t="s">
        <v>1403</v>
      </c>
      <c r="M509" s="170"/>
      <c r="N509" s="170"/>
      <c r="O509" s="222" t="s">
        <v>1131</v>
      </c>
      <c r="P509" s="170"/>
      <c r="Q509" s="170"/>
      <c r="R509" s="170"/>
      <c r="S509" s="170"/>
    </row>
    <row r="510" spans="1:19">
      <c r="A510" s="176"/>
      <c r="B510" s="166"/>
      <c r="C510" s="166"/>
      <c r="D510" s="175" t="s">
        <v>1131</v>
      </c>
      <c r="G510" s="170"/>
      <c r="H510" s="186"/>
      <c r="I510" s="175"/>
      <c r="J510" s="192">
        <v>5</v>
      </c>
      <c r="K510" s="170"/>
      <c r="L510" s="185" t="s">
        <v>1340</v>
      </c>
      <c r="M510" s="170"/>
      <c r="N510" s="170"/>
      <c r="O510" s="222" t="s">
        <v>1131</v>
      </c>
      <c r="P510" s="170"/>
      <c r="Q510" s="170"/>
      <c r="R510" s="170"/>
      <c r="S510" s="170"/>
    </row>
    <row r="511" spans="1:19">
      <c r="A511" s="176"/>
      <c r="B511" s="166"/>
      <c r="C511" s="166"/>
      <c r="D511" s="175" t="s">
        <v>1131</v>
      </c>
      <c r="G511" s="170"/>
      <c r="H511" s="186"/>
      <c r="I511" s="175"/>
      <c r="J511" s="192">
        <v>6</v>
      </c>
      <c r="K511" s="170"/>
      <c r="L511" s="185" t="s">
        <v>1422</v>
      </c>
      <c r="M511" s="170"/>
      <c r="N511" s="170"/>
      <c r="O511" s="222" t="s">
        <v>1131</v>
      </c>
      <c r="P511" s="170"/>
      <c r="Q511" s="170"/>
      <c r="R511" s="170"/>
      <c r="S511" s="170"/>
    </row>
    <row r="512" spans="1:19">
      <c r="A512" s="176"/>
      <c r="B512" s="166"/>
      <c r="C512" s="166"/>
      <c r="D512" s="175" t="s">
        <v>1131</v>
      </c>
      <c r="G512" s="170"/>
      <c r="H512" s="186"/>
      <c r="I512" s="175"/>
      <c r="J512" s="192">
        <v>7</v>
      </c>
      <c r="K512" s="170"/>
      <c r="L512" s="185" t="s">
        <v>1414</v>
      </c>
      <c r="M512" s="170"/>
      <c r="N512" s="170"/>
      <c r="O512" s="222" t="s">
        <v>1131</v>
      </c>
      <c r="P512" s="170"/>
      <c r="Q512" s="170"/>
      <c r="R512" s="170"/>
      <c r="S512" s="170"/>
    </row>
    <row r="513" spans="1:19">
      <c r="A513" s="176"/>
      <c r="B513" s="166"/>
      <c r="C513" s="166"/>
      <c r="D513" s="175" t="s">
        <v>1131</v>
      </c>
      <c r="G513" s="170"/>
      <c r="H513" s="186"/>
      <c r="I513" s="175"/>
      <c r="J513" s="192">
        <v>8</v>
      </c>
      <c r="K513" s="170"/>
      <c r="L513" s="197" t="s">
        <v>1433</v>
      </c>
      <c r="M513" s="196"/>
      <c r="N513" s="196"/>
      <c r="O513" s="240" t="s">
        <v>1131</v>
      </c>
      <c r="P513" s="170"/>
      <c r="Q513" s="170"/>
      <c r="R513" s="170"/>
      <c r="S513" s="170"/>
    </row>
    <row r="514" spans="1:19">
      <c r="A514" s="176"/>
      <c r="B514" s="166"/>
      <c r="C514" s="166"/>
      <c r="D514" s="175"/>
      <c r="G514" s="170"/>
      <c r="H514" s="186"/>
      <c r="I514" s="187" t="s">
        <v>1128</v>
      </c>
      <c r="J514" s="188"/>
      <c r="K514" s="199" t="s">
        <v>1424</v>
      </c>
      <c r="L514" s="190"/>
      <c r="M514" s="190"/>
      <c r="N514" s="190"/>
      <c r="O514" s="231"/>
      <c r="P514" s="170"/>
      <c r="Q514" s="170"/>
      <c r="R514" s="170"/>
      <c r="S514" s="170"/>
    </row>
    <row r="515" spans="1:19">
      <c r="A515" s="176"/>
      <c r="B515" s="166"/>
      <c r="C515" s="166"/>
      <c r="D515" s="175" t="s">
        <v>1131</v>
      </c>
      <c r="G515" s="170"/>
      <c r="H515" s="186"/>
      <c r="I515" s="175"/>
      <c r="J515" s="192">
        <v>1</v>
      </c>
      <c r="K515" s="170"/>
      <c r="L515" s="185" t="s">
        <v>1408</v>
      </c>
      <c r="M515" s="170"/>
      <c r="N515" s="170"/>
      <c r="O515" s="222" t="s">
        <v>1131</v>
      </c>
      <c r="P515" s="170"/>
      <c r="Q515" s="170"/>
      <c r="R515" s="170"/>
      <c r="S515" s="170"/>
    </row>
    <row r="516" spans="1:19">
      <c r="A516" s="176"/>
      <c r="B516" s="166"/>
      <c r="C516" s="166"/>
      <c r="D516" s="175" t="s">
        <v>1131</v>
      </c>
      <c r="G516" s="170"/>
      <c r="H516" s="186"/>
      <c r="I516" s="175"/>
      <c r="J516" s="192">
        <v>2</v>
      </c>
      <c r="K516" s="170"/>
      <c r="L516" s="185" t="s">
        <v>1229</v>
      </c>
      <c r="M516" s="170"/>
      <c r="N516" s="170"/>
      <c r="O516" s="222" t="s">
        <v>1131</v>
      </c>
      <c r="P516" s="170"/>
      <c r="Q516" s="170"/>
      <c r="R516" s="170"/>
      <c r="S516" s="170"/>
    </row>
    <row r="517" spans="1:19">
      <c r="A517" s="176"/>
      <c r="B517" s="166"/>
      <c r="C517" s="166"/>
      <c r="D517" s="175" t="s">
        <v>1131</v>
      </c>
      <c r="G517" s="170"/>
      <c r="H517" s="186"/>
      <c r="I517" s="175"/>
      <c r="J517" s="192">
        <v>3</v>
      </c>
      <c r="K517" s="170"/>
      <c r="L517" s="185" t="s">
        <v>1418</v>
      </c>
      <c r="M517" s="170"/>
      <c r="N517" s="170"/>
      <c r="O517" s="222" t="s">
        <v>1131</v>
      </c>
      <c r="P517" s="170"/>
      <c r="Q517" s="170"/>
      <c r="R517" s="170"/>
      <c r="S517" s="170"/>
    </row>
    <row r="518" spans="1:19">
      <c r="A518" s="176"/>
      <c r="B518" s="166"/>
      <c r="C518" s="166"/>
      <c r="D518" s="175" t="s">
        <v>1131</v>
      </c>
      <c r="G518" s="170"/>
      <c r="H518" s="186"/>
      <c r="I518" s="175"/>
      <c r="J518" s="192">
        <v>4</v>
      </c>
      <c r="K518" s="170"/>
      <c r="L518" s="185" t="s">
        <v>1422</v>
      </c>
      <c r="M518" s="170"/>
      <c r="N518" s="170"/>
      <c r="O518" s="222" t="s">
        <v>1131</v>
      </c>
      <c r="P518" s="170"/>
      <c r="Q518" s="170"/>
      <c r="R518" s="170"/>
      <c r="S518" s="170"/>
    </row>
    <row r="519" spans="1:19">
      <c r="A519" s="176"/>
      <c r="B519" s="166"/>
      <c r="C519" s="166"/>
      <c r="D519" s="175" t="s">
        <v>1131</v>
      </c>
      <c r="G519" s="170"/>
      <c r="H519" s="186"/>
      <c r="I519" s="175"/>
      <c r="J519" s="192">
        <v>5</v>
      </c>
      <c r="K519" s="170"/>
      <c r="L519" s="185" t="s">
        <v>1414</v>
      </c>
      <c r="M519" s="170"/>
      <c r="N519" s="170"/>
      <c r="O519" s="222" t="s">
        <v>1131</v>
      </c>
      <c r="P519" s="170"/>
      <c r="Q519" s="170"/>
      <c r="R519" s="170"/>
      <c r="S519" s="170"/>
    </row>
    <row r="520" spans="1:19" ht="15.75" thickBot="1">
      <c r="A520" s="176"/>
      <c r="B520" s="166"/>
      <c r="C520" s="166"/>
      <c r="D520" s="175" t="s">
        <v>1131</v>
      </c>
      <c r="G520" s="170"/>
      <c r="H520" s="201"/>
      <c r="I520" s="202"/>
      <c r="J520" s="203">
        <v>6</v>
      </c>
      <c r="K520" s="204"/>
      <c r="L520" s="205" t="s">
        <v>1406</v>
      </c>
      <c r="M520" s="204"/>
      <c r="N520" s="204"/>
      <c r="O520" s="266" t="s">
        <v>1131</v>
      </c>
      <c r="P520" s="170"/>
      <c r="Q520" s="170"/>
      <c r="R520" s="170"/>
      <c r="S520" s="170"/>
    </row>
    <row r="521" spans="1:19" ht="15.75" thickTop="1">
      <c r="A521" s="176">
        <v>46</v>
      </c>
      <c r="B521" s="166" t="s">
        <v>1434</v>
      </c>
      <c r="C521" s="166" t="s">
        <v>1435</v>
      </c>
      <c r="D521" s="175"/>
      <c r="G521" s="170"/>
      <c r="H521" s="208">
        <v>46</v>
      </c>
      <c r="I521" s="210"/>
      <c r="J521" s="220"/>
      <c r="K521" s="265" t="s">
        <v>1435</v>
      </c>
      <c r="L521" s="220"/>
      <c r="M521" s="220"/>
      <c r="N521" s="220"/>
      <c r="O521" s="230"/>
      <c r="P521" s="170"/>
      <c r="Q521" s="184">
        <f>H521</f>
        <v>46</v>
      </c>
      <c r="R521" s="175" t="str">
        <f>CONCATENATE("II-",TEXT(Q521,"0000"))</f>
        <v>II-0046</v>
      </c>
      <c r="S521" s="185" t="str">
        <f>K521</f>
        <v>IMPERMEABILIZACION</v>
      </c>
    </row>
    <row r="522" spans="1:19">
      <c r="A522" s="176"/>
      <c r="B522" s="166"/>
      <c r="C522" s="166"/>
      <c r="D522" s="175" t="s">
        <v>1214</v>
      </c>
      <c r="G522" s="170"/>
      <c r="H522" s="186"/>
      <c r="I522" s="187" t="s">
        <v>1020</v>
      </c>
      <c r="J522" s="170"/>
      <c r="K522" s="185" t="s">
        <v>1436</v>
      </c>
      <c r="L522" s="170"/>
      <c r="M522" s="170"/>
      <c r="N522" s="170"/>
      <c r="O522" s="222" t="s">
        <v>1214</v>
      </c>
      <c r="P522" s="170"/>
      <c r="Q522" s="170"/>
      <c r="R522" s="170"/>
      <c r="S522" s="170"/>
    </row>
    <row r="523" spans="1:19">
      <c r="A523" s="176"/>
      <c r="B523" s="166"/>
      <c r="C523" s="166"/>
      <c r="D523" s="175"/>
      <c r="G523" s="170"/>
      <c r="H523" s="186"/>
      <c r="I523" s="187" t="s">
        <v>1047</v>
      </c>
      <c r="J523" s="188"/>
      <c r="K523" s="199" t="s">
        <v>1437</v>
      </c>
      <c r="L523" s="190"/>
      <c r="M523" s="190"/>
      <c r="N523" s="190"/>
      <c r="O523" s="231"/>
      <c r="P523" s="170"/>
      <c r="Q523" s="170"/>
      <c r="R523" s="170"/>
      <c r="S523" s="170"/>
    </row>
    <row r="524" spans="1:19">
      <c r="A524" s="176"/>
      <c r="B524" s="166"/>
      <c r="C524" s="166"/>
      <c r="D524" s="175" t="s">
        <v>1214</v>
      </c>
      <c r="G524" s="170"/>
      <c r="H524" s="186"/>
      <c r="I524" s="175"/>
      <c r="J524" s="192">
        <v>1</v>
      </c>
      <c r="K524" s="170"/>
      <c r="L524" s="185" t="s">
        <v>1438</v>
      </c>
      <c r="M524" s="170"/>
      <c r="N524" s="170"/>
      <c r="O524" s="222" t="s">
        <v>1214</v>
      </c>
      <c r="P524" s="170"/>
      <c r="Q524" s="170"/>
      <c r="R524" s="170"/>
      <c r="S524" s="170"/>
    </row>
    <row r="525" spans="1:19" ht="15.75" thickBot="1">
      <c r="A525" s="176"/>
      <c r="B525" s="166"/>
      <c r="C525" s="166"/>
      <c r="D525" s="175" t="s">
        <v>1214</v>
      </c>
      <c r="G525" s="170"/>
      <c r="H525" s="201"/>
      <c r="I525" s="202"/>
      <c r="J525" s="203">
        <v>2</v>
      </c>
      <c r="K525" s="204"/>
      <c r="L525" s="205" t="s">
        <v>1439</v>
      </c>
      <c r="M525" s="204"/>
      <c r="N525" s="204"/>
      <c r="O525" s="266" t="s">
        <v>1214</v>
      </c>
      <c r="P525" s="170"/>
      <c r="Q525" s="170"/>
      <c r="R525" s="170"/>
      <c r="S525" s="170"/>
    </row>
    <row r="526" spans="1:19" ht="15.75" thickTop="1">
      <c r="A526" s="176">
        <v>47</v>
      </c>
      <c r="B526" s="166" t="s">
        <v>1440</v>
      </c>
      <c r="C526" s="166" t="s">
        <v>1441</v>
      </c>
      <c r="D526" s="175"/>
      <c r="G526" s="170"/>
      <c r="H526" s="208">
        <v>47</v>
      </c>
      <c r="I526" s="210"/>
      <c r="J526" s="220"/>
      <c r="K526" s="265" t="s">
        <v>1441</v>
      </c>
      <c r="L526" s="220"/>
      <c r="M526" s="220"/>
      <c r="N526" s="220"/>
      <c r="O526" s="230"/>
      <c r="P526" s="170"/>
      <c r="Q526" s="184">
        <f>H526</f>
        <v>47</v>
      </c>
      <c r="R526" s="175" t="str">
        <f>CONCATENATE("II-",TEXT(Q526,"0000"))</f>
        <v>II-0047</v>
      </c>
      <c r="S526" s="185" t="str">
        <f>K526</f>
        <v>IMPRIMACIÒN CON MATERIAL BITUMINOSO</v>
      </c>
    </row>
    <row r="527" spans="1:19">
      <c r="A527" s="176"/>
      <c r="B527" s="166"/>
      <c r="C527" s="166"/>
      <c r="D527" s="175" t="s">
        <v>1214</v>
      </c>
      <c r="G527" s="170"/>
      <c r="H527" s="186"/>
      <c r="I527" s="187" t="s">
        <v>1020</v>
      </c>
      <c r="J527" s="228"/>
      <c r="K527" s="245" t="s">
        <v>1438</v>
      </c>
      <c r="L527" s="245"/>
      <c r="M527" s="245"/>
      <c r="N527" s="228"/>
      <c r="O527" s="244" t="s">
        <v>1214</v>
      </c>
      <c r="P527" s="170"/>
      <c r="Q527" s="170"/>
      <c r="R527" s="170"/>
      <c r="S527" s="170"/>
    </row>
    <row r="528" spans="1:19" ht="15.75" thickBot="1">
      <c r="A528" s="176"/>
      <c r="B528" s="166"/>
      <c r="C528" s="166"/>
      <c r="D528" s="175" t="s">
        <v>1214</v>
      </c>
      <c r="G528" s="170"/>
      <c r="H528" s="232"/>
      <c r="I528" s="234" t="s">
        <v>1047</v>
      </c>
      <c r="J528" s="235"/>
      <c r="K528" s="236" t="s">
        <v>1439</v>
      </c>
      <c r="L528" s="236"/>
      <c r="M528" s="236"/>
      <c r="N528" s="235"/>
      <c r="O528" s="268" t="s">
        <v>1214</v>
      </c>
      <c r="P528" s="170"/>
      <c r="Q528" s="170"/>
      <c r="R528" s="170"/>
      <c r="S528" s="170"/>
    </row>
    <row r="529" spans="1:19">
      <c r="A529" s="176"/>
      <c r="B529" s="166"/>
      <c r="C529" s="166"/>
      <c r="D529" s="175"/>
      <c r="G529" s="170"/>
      <c r="H529" s="238"/>
      <c r="I529" s="175"/>
      <c r="J529" s="170"/>
      <c r="K529" s="185"/>
      <c r="L529" s="185"/>
      <c r="M529" s="185"/>
      <c r="N529" s="170"/>
      <c r="O529" s="173"/>
      <c r="P529" s="170"/>
      <c r="Q529" s="170"/>
      <c r="R529" s="170"/>
      <c r="S529" s="170"/>
    </row>
    <row r="530" spans="1:19">
      <c r="A530" s="176"/>
      <c r="B530" s="166"/>
      <c r="C530" s="166"/>
      <c r="D530" s="175"/>
      <c r="G530" s="170"/>
      <c r="H530" s="238"/>
      <c r="I530" s="175"/>
      <c r="J530" s="170"/>
      <c r="K530" s="185"/>
      <c r="L530" s="185"/>
      <c r="M530" s="185"/>
      <c r="N530" s="170"/>
      <c r="O530" s="173"/>
      <c r="P530" s="170"/>
      <c r="Q530" s="170"/>
      <c r="R530" s="170"/>
      <c r="S530" s="170"/>
    </row>
    <row r="531" spans="1:19">
      <c r="A531" s="176">
        <v>48</v>
      </c>
      <c r="B531" s="166" t="s">
        <v>1442</v>
      </c>
      <c r="C531" s="166" t="s">
        <v>1443</v>
      </c>
      <c r="D531" s="175"/>
      <c r="G531" s="170"/>
      <c r="H531" s="208">
        <v>48</v>
      </c>
      <c r="I531" s="210"/>
      <c r="J531" s="220"/>
      <c r="K531" s="265" t="s">
        <v>1443</v>
      </c>
      <c r="L531" s="220"/>
      <c r="M531" s="220"/>
      <c r="N531" s="220"/>
      <c r="O531" s="230"/>
      <c r="P531" s="170"/>
      <c r="Q531" s="184">
        <f>H531</f>
        <v>48</v>
      </c>
      <c r="R531" s="175" t="str">
        <f>CONCATENATE("II-",TEXT(Q531,"0000"))</f>
        <v>II-0048</v>
      </c>
      <c r="S531" s="185" t="str">
        <f>K531</f>
        <v>LIMPIEZA</v>
      </c>
    </row>
    <row r="532" spans="1:19">
      <c r="A532" s="176"/>
      <c r="B532" s="166"/>
      <c r="C532" s="166"/>
      <c r="D532" s="175" t="s">
        <v>1444</v>
      </c>
      <c r="G532" s="170"/>
      <c r="H532" s="186"/>
      <c r="I532" s="289" t="s">
        <v>1020</v>
      </c>
      <c r="J532" s="170"/>
      <c r="K532" s="185" t="s">
        <v>1445</v>
      </c>
      <c r="L532" s="185"/>
      <c r="M532" s="185"/>
      <c r="N532" s="170"/>
      <c r="O532" s="222" t="s">
        <v>1444</v>
      </c>
      <c r="P532" s="170"/>
      <c r="Q532" s="170"/>
      <c r="R532" s="170"/>
      <c r="S532" s="170"/>
    </row>
    <row r="533" spans="1:19">
      <c r="A533" s="176"/>
      <c r="B533" s="166"/>
      <c r="C533" s="166"/>
      <c r="D533" s="175" t="s">
        <v>1131</v>
      </c>
      <c r="G533" s="170"/>
      <c r="H533" s="186"/>
      <c r="I533" s="187" t="s">
        <v>1047</v>
      </c>
      <c r="J533" s="228"/>
      <c r="K533" s="245" t="s">
        <v>1446</v>
      </c>
      <c r="L533" s="245"/>
      <c r="M533" s="245"/>
      <c r="N533" s="228"/>
      <c r="O533" s="244" t="s">
        <v>1131</v>
      </c>
      <c r="P533" s="170"/>
      <c r="Q533" s="170"/>
      <c r="R533" s="170"/>
      <c r="S533" s="170"/>
    </row>
    <row r="534" spans="1:19">
      <c r="A534" s="176"/>
      <c r="B534" s="166"/>
      <c r="C534" s="166"/>
      <c r="D534" s="175" t="s">
        <v>1131</v>
      </c>
      <c r="G534" s="170"/>
      <c r="H534" s="186"/>
      <c r="I534" s="192" t="s">
        <v>1057</v>
      </c>
      <c r="J534" s="170"/>
      <c r="K534" s="185" t="s">
        <v>1447</v>
      </c>
      <c r="L534" s="185"/>
      <c r="M534" s="185"/>
      <c r="N534" s="170"/>
      <c r="O534" s="222" t="s">
        <v>1131</v>
      </c>
      <c r="P534" s="170"/>
      <c r="Q534" s="170"/>
      <c r="R534" s="170"/>
      <c r="S534" s="170"/>
    </row>
    <row r="535" spans="1:19">
      <c r="A535" s="176"/>
      <c r="B535" s="166"/>
      <c r="C535" s="166"/>
      <c r="D535" s="175" t="s">
        <v>1131</v>
      </c>
      <c r="G535" s="170"/>
      <c r="H535" s="186"/>
      <c r="I535" s="289" t="s">
        <v>1083</v>
      </c>
      <c r="J535" s="190"/>
      <c r="K535" s="199" t="s">
        <v>1448</v>
      </c>
      <c r="L535" s="199"/>
      <c r="M535" s="199"/>
      <c r="N535" s="190"/>
      <c r="O535" s="231" t="s">
        <v>1131</v>
      </c>
      <c r="P535" s="170"/>
      <c r="Q535" s="170"/>
      <c r="R535" s="170"/>
      <c r="S535" s="170"/>
    </row>
    <row r="536" spans="1:19">
      <c r="A536" s="176"/>
      <c r="B536" s="166"/>
      <c r="C536" s="166"/>
      <c r="D536" s="175" t="s">
        <v>1131</v>
      </c>
      <c r="G536" s="170"/>
      <c r="H536" s="186"/>
      <c r="I536" s="187" t="s">
        <v>1125</v>
      </c>
      <c r="J536" s="228"/>
      <c r="K536" s="245" t="s">
        <v>1449</v>
      </c>
      <c r="L536" s="245"/>
      <c r="M536" s="245"/>
      <c r="N536" s="228"/>
      <c r="O536" s="244" t="s">
        <v>1131</v>
      </c>
      <c r="P536" s="170"/>
      <c r="Q536" s="170"/>
      <c r="R536" s="170"/>
      <c r="S536" s="170"/>
    </row>
    <row r="537" spans="1:19">
      <c r="A537" s="176"/>
      <c r="B537" s="166"/>
      <c r="C537" s="166"/>
      <c r="D537" s="175" t="s">
        <v>1248</v>
      </c>
      <c r="G537" s="170"/>
      <c r="H537" s="186"/>
      <c r="I537" s="192" t="s">
        <v>1128</v>
      </c>
      <c r="J537" s="170"/>
      <c r="K537" s="185" t="s">
        <v>1450</v>
      </c>
      <c r="L537" s="185"/>
      <c r="M537" s="185"/>
      <c r="N537" s="170"/>
      <c r="O537" s="222" t="s">
        <v>1248</v>
      </c>
      <c r="P537" s="170"/>
      <c r="Q537" s="170"/>
      <c r="R537" s="170"/>
      <c r="S537" s="170"/>
    </row>
    <row r="538" spans="1:19">
      <c r="A538" s="176"/>
      <c r="B538" s="166"/>
      <c r="C538" s="166"/>
      <c r="D538" s="175" t="s">
        <v>997</v>
      </c>
      <c r="G538" s="170"/>
      <c r="H538" s="186"/>
      <c r="I538" s="187" t="s">
        <v>1132</v>
      </c>
      <c r="J538" s="228"/>
      <c r="K538" s="245" t="s">
        <v>1451</v>
      </c>
      <c r="L538" s="245"/>
      <c r="M538" s="245"/>
      <c r="N538" s="228"/>
      <c r="O538" s="244" t="s">
        <v>997</v>
      </c>
      <c r="P538" s="170"/>
      <c r="Q538" s="170"/>
      <c r="R538" s="170"/>
      <c r="S538" s="170"/>
    </row>
    <row r="539" spans="1:19" ht="15.75" thickBot="1">
      <c r="A539" s="176"/>
      <c r="B539" s="166"/>
      <c r="C539" s="166"/>
      <c r="D539" s="175" t="s">
        <v>997</v>
      </c>
      <c r="G539" s="170"/>
      <c r="H539" s="201"/>
      <c r="I539" s="203" t="s">
        <v>1135</v>
      </c>
      <c r="J539" s="204"/>
      <c r="K539" s="205" t="s">
        <v>1452</v>
      </c>
      <c r="L539" s="205"/>
      <c r="M539" s="205"/>
      <c r="N539" s="204"/>
      <c r="O539" s="266" t="s">
        <v>997</v>
      </c>
      <c r="P539" s="170"/>
      <c r="Q539" s="170"/>
      <c r="R539" s="170"/>
      <c r="S539" s="170"/>
    </row>
    <row r="540" spans="1:19" ht="15.75" thickTop="1">
      <c r="A540" s="176">
        <v>49</v>
      </c>
      <c r="B540" s="166" t="s">
        <v>1453</v>
      </c>
      <c r="C540" s="166" t="s">
        <v>1454</v>
      </c>
      <c r="D540" s="175"/>
      <c r="G540" s="170"/>
      <c r="H540" s="208">
        <v>49</v>
      </c>
      <c r="I540" s="210"/>
      <c r="J540" s="220"/>
      <c r="K540" s="265" t="s">
        <v>1454</v>
      </c>
      <c r="L540" s="220"/>
      <c r="M540" s="220"/>
      <c r="N540" s="220"/>
      <c r="O540" s="230"/>
      <c r="P540" s="170"/>
      <c r="Q540" s="184">
        <f>H540</f>
        <v>49</v>
      </c>
      <c r="R540" s="175" t="str">
        <f>CONCATENATE("II-",TEXT(Q540,"0000"))</f>
        <v>II-0049</v>
      </c>
      <c r="S540" s="185" t="str">
        <f>K540</f>
        <v>LOSA DE HORMIGON</v>
      </c>
    </row>
    <row r="541" spans="1:19" ht="15.75" thickBot="1">
      <c r="A541" s="176"/>
      <c r="B541" s="166"/>
      <c r="C541" s="166"/>
      <c r="D541" s="175" t="s">
        <v>1214</v>
      </c>
      <c r="G541" s="170"/>
      <c r="H541" s="212"/>
      <c r="I541" s="213" t="s">
        <v>1020</v>
      </c>
      <c r="J541" s="214"/>
      <c r="K541" s="247" t="s">
        <v>1134</v>
      </c>
      <c r="L541" s="216"/>
      <c r="M541" s="216"/>
      <c r="N541" s="216"/>
      <c r="O541" s="248" t="s">
        <v>1214</v>
      </c>
      <c r="P541" s="170"/>
      <c r="Q541" s="170"/>
      <c r="R541" s="170"/>
      <c r="S541" s="170"/>
    </row>
    <row r="542" spans="1:19" ht="15.75" thickTop="1">
      <c r="A542" s="176">
        <v>50</v>
      </c>
      <c r="B542" s="166" t="s">
        <v>1455</v>
      </c>
      <c r="C542" s="166" t="s">
        <v>1456</v>
      </c>
      <c r="D542" s="175"/>
      <c r="G542" s="170"/>
      <c r="H542" s="208">
        <v>50</v>
      </c>
      <c r="I542" s="210"/>
      <c r="J542" s="220"/>
      <c r="K542" s="265" t="s">
        <v>1456</v>
      </c>
      <c r="L542" s="220"/>
      <c r="M542" s="220"/>
      <c r="N542" s="220"/>
      <c r="O542" s="230"/>
      <c r="P542" s="170"/>
      <c r="Q542" s="184">
        <f>H542</f>
        <v>50</v>
      </c>
      <c r="R542" s="175" t="str">
        <f>CONCATENATE("II-",TEXT(Q542,"0000"))</f>
        <v>II-0050</v>
      </c>
      <c r="S542" s="185" t="str">
        <f>K542</f>
        <v>LOSETAS DE HORMIGON</v>
      </c>
    </row>
    <row r="543" spans="1:19">
      <c r="A543" s="176"/>
      <c r="B543" s="166"/>
      <c r="C543" s="166"/>
      <c r="D543" s="175"/>
      <c r="G543" s="170"/>
      <c r="H543" s="186"/>
      <c r="I543" s="187" t="s">
        <v>1020</v>
      </c>
      <c r="J543" s="188"/>
      <c r="K543" s="199" t="s">
        <v>1457</v>
      </c>
      <c r="L543" s="190"/>
      <c r="M543" s="190"/>
      <c r="N543" s="190"/>
      <c r="O543" s="231"/>
      <c r="P543" s="170"/>
      <c r="Q543" s="170"/>
      <c r="R543" s="170"/>
      <c r="S543" s="170"/>
    </row>
    <row r="544" spans="1:19">
      <c r="A544" s="176"/>
      <c r="B544" s="166"/>
      <c r="C544" s="166"/>
      <c r="D544" s="175" t="s">
        <v>1214</v>
      </c>
      <c r="G544" s="170"/>
      <c r="H544" s="186"/>
      <c r="I544" s="175"/>
      <c r="J544" s="192">
        <v>1</v>
      </c>
      <c r="K544" s="170"/>
      <c r="L544" s="185" t="s">
        <v>1458</v>
      </c>
      <c r="M544" s="170"/>
      <c r="N544" s="170"/>
      <c r="O544" s="222" t="s">
        <v>1214</v>
      </c>
      <c r="P544" s="170"/>
      <c r="Q544" s="170"/>
      <c r="R544" s="170"/>
      <c r="S544" s="170"/>
    </row>
    <row r="545" spans="1:19">
      <c r="A545" s="176"/>
      <c r="B545" s="166"/>
      <c r="C545" s="166"/>
      <c r="D545" s="175" t="s">
        <v>1214</v>
      </c>
      <c r="G545" s="170"/>
      <c r="H545" s="186"/>
      <c r="I545" s="175"/>
      <c r="J545" s="192">
        <v>2</v>
      </c>
      <c r="K545" s="170"/>
      <c r="L545" s="185" t="s">
        <v>1320</v>
      </c>
      <c r="M545" s="170"/>
      <c r="N545" s="170"/>
      <c r="O545" s="222" t="s">
        <v>1214</v>
      </c>
      <c r="P545" s="170"/>
      <c r="Q545" s="170"/>
      <c r="R545" s="170"/>
      <c r="S545" s="170"/>
    </row>
    <row r="546" spans="1:19">
      <c r="A546" s="176"/>
      <c r="B546" s="166"/>
      <c r="C546" s="166"/>
      <c r="D546" s="175" t="s">
        <v>1214</v>
      </c>
      <c r="G546" s="170"/>
      <c r="H546" s="186"/>
      <c r="I546" s="175"/>
      <c r="J546" s="192">
        <v>3</v>
      </c>
      <c r="K546" s="170"/>
      <c r="L546" s="185" t="s">
        <v>1340</v>
      </c>
      <c r="M546" s="170"/>
      <c r="N546" s="170"/>
      <c r="O546" s="222" t="s">
        <v>1214</v>
      </c>
      <c r="P546" s="170"/>
      <c r="Q546" s="170"/>
      <c r="R546" s="170"/>
      <c r="S546" s="170"/>
    </row>
    <row r="547" spans="1:19">
      <c r="A547" s="176"/>
      <c r="B547" s="166"/>
      <c r="C547" s="166"/>
      <c r="D547" s="175" t="s">
        <v>1214</v>
      </c>
      <c r="G547" s="170"/>
      <c r="H547" s="186"/>
      <c r="I547" s="175"/>
      <c r="J547" s="192">
        <v>4</v>
      </c>
      <c r="K547" s="170"/>
      <c r="L547" s="185" t="s">
        <v>1459</v>
      </c>
      <c r="M547" s="170"/>
      <c r="N547" s="170"/>
      <c r="O547" s="222" t="s">
        <v>1214</v>
      </c>
      <c r="P547" s="170"/>
      <c r="Q547" s="170"/>
      <c r="R547" s="170"/>
      <c r="S547" s="170"/>
    </row>
    <row r="548" spans="1:19">
      <c r="A548" s="176"/>
      <c r="B548" s="166"/>
      <c r="C548" s="166"/>
      <c r="D548" s="175" t="s">
        <v>1214</v>
      </c>
      <c r="G548" s="170"/>
      <c r="H548" s="186"/>
      <c r="I548" s="175"/>
      <c r="J548" s="192">
        <v>5</v>
      </c>
      <c r="K548" s="170"/>
      <c r="L548" s="185" t="s">
        <v>1460</v>
      </c>
      <c r="M548" s="170"/>
      <c r="N548" s="170"/>
      <c r="O548" s="222" t="s">
        <v>1214</v>
      </c>
      <c r="P548" s="170"/>
      <c r="Q548" s="170"/>
      <c r="R548" s="170"/>
      <c r="S548" s="170"/>
    </row>
    <row r="549" spans="1:19">
      <c r="A549" s="176"/>
      <c r="B549" s="166"/>
      <c r="C549" s="166"/>
      <c r="D549" s="175" t="s">
        <v>1214</v>
      </c>
      <c r="G549" s="170"/>
      <c r="H549" s="186"/>
      <c r="I549" s="187" t="s">
        <v>1047</v>
      </c>
      <c r="J549" s="290"/>
      <c r="K549" s="245" t="s">
        <v>1089</v>
      </c>
      <c r="L549" s="245"/>
      <c r="M549" s="228"/>
      <c r="N549" s="228"/>
      <c r="O549" s="244" t="s">
        <v>1214</v>
      </c>
      <c r="P549" s="170"/>
      <c r="Q549" s="170"/>
      <c r="R549" s="170"/>
      <c r="S549" s="170"/>
    </row>
    <row r="550" spans="1:19" ht="15.75" thickBot="1">
      <c r="A550" s="176"/>
      <c r="B550" s="166"/>
      <c r="C550" s="166"/>
      <c r="D550" s="175" t="s">
        <v>1214</v>
      </c>
      <c r="G550" s="170"/>
      <c r="H550" s="186"/>
      <c r="I550" s="203" t="s">
        <v>1057</v>
      </c>
      <c r="J550" s="175"/>
      <c r="K550" s="185" t="s">
        <v>1195</v>
      </c>
      <c r="L550" s="185"/>
      <c r="M550" s="170"/>
      <c r="N550" s="170"/>
      <c r="O550" s="222" t="s">
        <v>1214</v>
      </c>
      <c r="P550" s="170"/>
      <c r="Q550" s="170"/>
      <c r="R550" s="170"/>
      <c r="S550" s="170"/>
    </row>
    <row r="551" spans="1:19" ht="16.5" thickTop="1" thickBot="1">
      <c r="A551" s="176">
        <v>51</v>
      </c>
      <c r="B551" s="166" t="s">
        <v>1461</v>
      </c>
      <c r="C551" s="166" t="s">
        <v>1462</v>
      </c>
      <c r="D551" s="175" t="s">
        <v>1214</v>
      </c>
      <c r="G551" s="170"/>
      <c r="H551" s="253">
        <v>51</v>
      </c>
      <c r="I551" s="209"/>
      <c r="J551" s="258"/>
      <c r="K551" s="259" t="s">
        <v>1462</v>
      </c>
      <c r="L551" s="258"/>
      <c r="M551" s="258"/>
      <c r="N551" s="258"/>
      <c r="O551" s="211" t="s">
        <v>1214</v>
      </c>
      <c r="P551" s="170"/>
      <c r="Q551" s="184">
        <f t="shared" ref="Q551:Q552" si="48">H551</f>
        <v>51</v>
      </c>
      <c r="R551" s="175" t="str">
        <f t="shared" ref="R551:R552" si="49">CONCATENATE("II-",TEXT(Q551,"0000"))</f>
        <v>II-0051</v>
      </c>
      <c r="S551" s="185" t="str">
        <f t="shared" ref="S551:S552" si="50">K551</f>
        <v>MAMPOSTERIA DE PIEDRA</v>
      </c>
    </row>
    <row r="552" spans="1:19" ht="16.5" thickTop="1" thickBot="1">
      <c r="A552" s="176">
        <v>52</v>
      </c>
      <c r="B552" s="166" t="s">
        <v>1463</v>
      </c>
      <c r="C552" s="166" t="s">
        <v>1464</v>
      </c>
      <c r="D552" s="175"/>
      <c r="G552" s="170"/>
      <c r="H552" s="253">
        <v>52</v>
      </c>
      <c r="I552" s="209"/>
      <c r="J552" s="258"/>
      <c r="K552" s="259" t="s">
        <v>1464</v>
      </c>
      <c r="L552" s="258"/>
      <c r="M552" s="258"/>
      <c r="N552" s="258"/>
      <c r="O552" s="211"/>
      <c r="P552" s="170"/>
      <c r="Q552" s="184">
        <f t="shared" si="48"/>
        <v>52</v>
      </c>
      <c r="R552" s="175" t="str">
        <f t="shared" si="49"/>
        <v>II-0052</v>
      </c>
      <c r="S552" s="185" t="str">
        <f t="shared" si="50"/>
        <v>MANTENIMIENTO INVERNAL</v>
      </c>
    </row>
    <row r="553" spans="1:19" ht="15.75" thickTop="1">
      <c r="A553" s="176"/>
      <c r="B553" s="166"/>
      <c r="C553" s="166"/>
      <c r="D553" s="175" t="s">
        <v>997</v>
      </c>
      <c r="G553" s="170"/>
      <c r="H553" s="291"/>
      <c r="I553" s="292" t="s">
        <v>1020</v>
      </c>
      <c r="J553" s="293"/>
      <c r="K553" s="294" t="s">
        <v>1465</v>
      </c>
      <c r="L553" s="293"/>
      <c r="M553" s="293"/>
      <c r="N553" s="293"/>
      <c r="O553" s="295" t="s">
        <v>997</v>
      </c>
      <c r="P553" s="170"/>
      <c r="Q553" s="170"/>
      <c r="R553" s="170"/>
      <c r="S553" s="170"/>
    </row>
    <row r="554" spans="1:19" ht="15.75" thickBot="1">
      <c r="A554" s="176"/>
      <c r="B554" s="166"/>
      <c r="C554" s="166"/>
      <c r="D554" s="175" t="s">
        <v>1466</v>
      </c>
      <c r="G554" s="170"/>
      <c r="H554" s="296"/>
      <c r="I554" s="187" t="s">
        <v>1047</v>
      </c>
      <c r="J554" s="196"/>
      <c r="K554" s="197" t="s">
        <v>1467</v>
      </c>
      <c r="L554" s="196"/>
      <c r="M554" s="196"/>
      <c r="N554" s="196"/>
      <c r="O554" s="240" t="s">
        <v>1466</v>
      </c>
      <c r="P554" s="170"/>
      <c r="Q554" s="170"/>
      <c r="R554" s="170"/>
      <c r="S554" s="170"/>
    </row>
    <row r="555" spans="1:19" ht="15.75" thickTop="1">
      <c r="A555" s="176">
        <v>53</v>
      </c>
      <c r="B555" s="166" t="s">
        <v>1468</v>
      </c>
      <c r="C555" s="166" t="s">
        <v>1469</v>
      </c>
      <c r="D555" s="175"/>
      <c r="G555" s="170"/>
      <c r="H555" s="253">
        <v>53</v>
      </c>
      <c r="I555" s="209"/>
      <c r="J555" s="258"/>
      <c r="K555" s="297" t="s">
        <v>1469</v>
      </c>
      <c r="L555" s="258"/>
      <c r="M555" s="258"/>
      <c r="N555" s="258"/>
      <c r="O555" s="211"/>
      <c r="P555" s="170"/>
      <c r="Q555" s="184">
        <f>H555</f>
        <v>53</v>
      </c>
      <c r="R555" s="175" t="str">
        <f>CONCATENATE("II-",TEXT(Q555,"0000"))</f>
        <v>II-0053</v>
      </c>
      <c r="S555" s="185" t="str">
        <f>K555</f>
        <v>MEMBRANA PVC</v>
      </c>
    </row>
    <row r="556" spans="1:19">
      <c r="A556" s="176"/>
      <c r="B556" s="166"/>
      <c r="C556" s="166"/>
      <c r="D556" s="175" t="s">
        <v>1214</v>
      </c>
      <c r="G556" s="170"/>
      <c r="H556" s="186"/>
      <c r="I556" s="289" t="s">
        <v>1020</v>
      </c>
      <c r="J556" s="170"/>
      <c r="K556" s="245" t="s">
        <v>1470</v>
      </c>
      <c r="L556" s="170"/>
      <c r="M556" s="170"/>
      <c r="N556" s="170"/>
      <c r="O556" s="222" t="s">
        <v>1214</v>
      </c>
      <c r="P556" s="170"/>
      <c r="Q556" s="170"/>
      <c r="R556" s="170"/>
      <c r="S556" s="170"/>
    </row>
    <row r="557" spans="1:19">
      <c r="A557" s="176"/>
      <c r="B557" s="166"/>
      <c r="C557" s="166"/>
      <c r="D557" s="175" t="s">
        <v>1214</v>
      </c>
      <c r="G557" s="170"/>
      <c r="H557" s="186"/>
      <c r="I557" s="187" t="s">
        <v>1047</v>
      </c>
      <c r="J557" s="290"/>
      <c r="K557" s="185" t="s">
        <v>1471</v>
      </c>
      <c r="L557" s="245"/>
      <c r="M557" s="228"/>
      <c r="N557" s="228"/>
      <c r="O557" s="244" t="s">
        <v>1214</v>
      </c>
      <c r="P557" s="170"/>
      <c r="Q557" s="170"/>
      <c r="R557" s="170"/>
      <c r="S557" s="170"/>
    </row>
    <row r="558" spans="1:19">
      <c r="A558" s="176"/>
      <c r="B558" s="166"/>
      <c r="C558" s="166"/>
      <c r="D558" s="175" t="s">
        <v>1214</v>
      </c>
      <c r="G558" s="170"/>
      <c r="H558" s="186"/>
      <c r="I558" s="187" t="s">
        <v>1057</v>
      </c>
      <c r="J558" s="290"/>
      <c r="K558" s="245" t="s">
        <v>1139</v>
      </c>
      <c r="L558" s="245"/>
      <c r="M558" s="245"/>
      <c r="N558" s="228"/>
      <c r="O558" s="244" t="s">
        <v>1214</v>
      </c>
      <c r="P558" s="170"/>
      <c r="Q558" s="170"/>
      <c r="R558" s="170"/>
      <c r="S558" s="170"/>
    </row>
    <row r="559" spans="1:19" ht="15.75" thickBot="1">
      <c r="A559" s="176"/>
      <c r="B559" s="166"/>
      <c r="C559" s="166"/>
      <c r="D559" s="175" t="s">
        <v>1214</v>
      </c>
      <c r="G559" s="170"/>
      <c r="H559" s="186"/>
      <c r="I559" s="203" t="s">
        <v>1083</v>
      </c>
      <c r="J559" s="175"/>
      <c r="K559" s="247" t="s">
        <v>1137</v>
      </c>
      <c r="L559" s="185"/>
      <c r="M559" s="185"/>
      <c r="N559" s="170"/>
      <c r="O559" s="222" t="s">
        <v>1214</v>
      </c>
      <c r="P559" s="170"/>
      <c r="Q559" s="170"/>
      <c r="R559" s="170"/>
      <c r="S559" s="170"/>
    </row>
    <row r="560" spans="1:19" ht="15.75" thickTop="1">
      <c r="A560" s="176">
        <v>54</v>
      </c>
      <c r="B560" s="166" t="s">
        <v>1472</v>
      </c>
      <c r="C560" s="166" t="s">
        <v>1473</v>
      </c>
      <c r="D560" s="175"/>
      <c r="G560" s="170"/>
      <c r="H560" s="253">
        <v>54</v>
      </c>
      <c r="I560" s="209"/>
      <c r="J560" s="258"/>
      <c r="K560" s="265" t="s">
        <v>1473</v>
      </c>
      <c r="L560" s="258"/>
      <c r="M560" s="258"/>
      <c r="N560" s="258"/>
      <c r="O560" s="211"/>
      <c r="P560" s="170"/>
      <c r="Q560" s="184">
        <f>H560</f>
        <v>54</v>
      </c>
      <c r="R560" s="175" t="str">
        <f>CONCATENATE("II-",TEXT(Q560,"0000"))</f>
        <v>II-0054</v>
      </c>
      <c r="S560" s="185" t="str">
        <f>K560</f>
        <v>MOVILIDAD PARA EL PERSONAL AUXILIAR DE SUPERVISION</v>
      </c>
    </row>
    <row r="561" spans="1:19">
      <c r="A561" s="176">
        <v>1</v>
      </c>
      <c r="B561" s="177" t="str">
        <f>CONCATENATE($B$560,".",TEXT(A561,"0000"))</f>
        <v>II-0054.0001</v>
      </c>
      <c r="C561" s="166" t="str">
        <f>K561</f>
        <v xml:space="preserve">CUOTA FIJA </v>
      </c>
      <c r="D561" s="175" t="s">
        <v>1474</v>
      </c>
      <c r="G561" s="170"/>
      <c r="H561" s="186"/>
      <c r="I561" s="187" t="s">
        <v>1020</v>
      </c>
      <c r="J561" s="228"/>
      <c r="K561" s="245" t="s">
        <v>1475</v>
      </c>
      <c r="L561" s="245"/>
      <c r="M561" s="245"/>
      <c r="N561" s="228"/>
      <c r="O561" s="244" t="s">
        <v>1474</v>
      </c>
      <c r="P561" s="170"/>
      <c r="Q561" s="170"/>
      <c r="R561" s="170"/>
      <c r="S561" s="170"/>
    </row>
    <row r="562" spans="1:19" ht="15.75" thickBot="1">
      <c r="A562" s="176">
        <v>2</v>
      </c>
      <c r="B562" s="177" t="str">
        <f>CONCATENATE($B$560,".",TEXT(A562,"0000"))</f>
        <v>II-0054.0002</v>
      </c>
      <c r="C562" s="166" t="str">
        <f>K562</f>
        <v>ADICIONAL POR KM</v>
      </c>
      <c r="D562" s="175" t="s">
        <v>1476</v>
      </c>
      <c r="G562" s="170"/>
      <c r="H562" s="201"/>
      <c r="I562" s="203" t="s">
        <v>1047</v>
      </c>
      <c r="J562" s="204"/>
      <c r="K562" s="205" t="s">
        <v>1477</v>
      </c>
      <c r="L562" s="205"/>
      <c r="M562" s="205"/>
      <c r="N562" s="204"/>
      <c r="O562" s="266" t="s">
        <v>1476</v>
      </c>
      <c r="P562" s="170"/>
      <c r="Q562" s="170"/>
      <c r="R562" s="170"/>
      <c r="S562" s="170"/>
    </row>
    <row r="563" spans="1:19" ht="16.5" thickTop="1" thickBot="1">
      <c r="A563" s="176">
        <v>55</v>
      </c>
      <c r="B563" s="166" t="s">
        <v>1478</v>
      </c>
      <c r="C563" s="166" t="s">
        <v>1479</v>
      </c>
      <c r="D563" s="175" t="s">
        <v>4</v>
      </c>
      <c r="G563" s="170"/>
      <c r="H563" s="208">
        <v>55</v>
      </c>
      <c r="I563" s="210"/>
      <c r="J563" s="220"/>
      <c r="K563" s="265" t="s">
        <v>1479</v>
      </c>
      <c r="L563" s="220"/>
      <c r="M563" s="220"/>
      <c r="N563" s="220"/>
      <c r="O563" s="230" t="s">
        <v>4</v>
      </c>
      <c r="P563" s="170"/>
      <c r="Q563" s="184">
        <f t="shared" ref="Q563:Q564" si="51">H563</f>
        <v>55</v>
      </c>
      <c r="R563" s="175" t="str">
        <f t="shared" ref="R563:R564" si="52">CONCATENATE("II-",TEXT(Q563,"0000"))</f>
        <v>II-0055</v>
      </c>
      <c r="S563" s="185" t="str">
        <f t="shared" ref="S563:S564" si="53">K563</f>
        <v>MOVILIZACION DE OBRA</v>
      </c>
    </row>
    <row r="564" spans="1:19" ht="15.75" thickTop="1">
      <c r="A564" s="176">
        <v>56</v>
      </c>
      <c r="B564" s="166" t="s">
        <v>1480</v>
      </c>
      <c r="C564" s="166" t="s">
        <v>1481</v>
      </c>
      <c r="D564" s="175"/>
      <c r="G564" s="170"/>
      <c r="H564" s="253">
        <v>56</v>
      </c>
      <c r="I564" s="209"/>
      <c r="J564" s="258"/>
      <c r="K564" s="259" t="s">
        <v>1481</v>
      </c>
      <c r="L564" s="258"/>
      <c r="M564" s="258"/>
      <c r="N564" s="258"/>
      <c r="O564" s="211"/>
      <c r="P564" s="170"/>
      <c r="Q564" s="184">
        <f t="shared" si="51"/>
        <v>56</v>
      </c>
      <c r="R564" s="175" t="str">
        <f t="shared" si="52"/>
        <v>II-0056</v>
      </c>
      <c r="S564" s="185" t="str">
        <f t="shared" si="53"/>
        <v xml:space="preserve">PASARELA </v>
      </c>
    </row>
    <row r="565" spans="1:19">
      <c r="A565" s="176"/>
      <c r="B565" s="166"/>
      <c r="C565" s="166"/>
      <c r="D565" s="175" t="s">
        <v>996</v>
      </c>
      <c r="G565" s="170"/>
      <c r="H565" s="186"/>
      <c r="I565" s="289" t="s">
        <v>1020</v>
      </c>
      <c r="J565" s="170"/>
      <c r="K565" s="185" t="s">
        <v>1244</v>
      </c>
      <c r="L565" s="170"/>
      <c r="M565" s="170"/>
      <c r="N565" s="170"/>
      <c r="O565" s="222" t="s">
        <v>996</v>
      </c>
      <c r="P565" s="170"/>
      <c r="Q565" s="170"/>
      <c r="R565" s="170"/>
      <c r="S565" s="170"/>
    </row>
    <row r="566" spans="1:19">
      <c r="A566" s="176"/>
      <c r="B566" s="166"/>
      <c r="C566" s="166"/>
      <c r="D566" s="175"/>
      <c r="G566" s="170"/>
      <c r="H566" s="186"/>
      <c r="I566" s="187" t="s">
        <v>1047</v>
      </c>
      <c r="J566" s="190"/>
      <c r="K566" s="199" t="s">
        <v>1245</v>
      </c>
      <c r="L566" s="190"/>
      <c r="M566" s="190"/>
      <c r="N566" s="190"/>
      <c r="O566" s="231"/>
      <c r="P566" s="170"/>
      <c r="Q566" s="170"/>
      <c r="R566" s="170"/>
      <c r="S566" s="170"/>
    </row>
    <row r="567" spans="1:19">
      <c r="A567" s="176"/>
      <c r="B567" s="166"/>
      <c r="C567" s="166"/>
      <c r="D567" s="175" t="s">
        <v>1256</v>
      </c>
      <c r="G567" s="170"/>
      <c r="H567" s="186"/>
      <c r="I567" s="175"/>
      <c r="J567" s="192">
        <v>1</v>
      </c>
      <c r="K567" s="170"/>
      <c r="L567" s="185" t="s">
        <v>1482</v>
      </c>
      <c r="M567" s="170"/>
      <c r="N567" s="170"/>
      <c r="O567" s="222" t="s">
        <v>1256</v>
      </c>
      <c r="P567" s="170"/>
      <c r="Q567" s="170"/>
      <c r="R567" s="170"/>
      <c r="S567" s="170"/>
    </row>
    <row r="568" spans="1:19">
      <c r="A568" s="176"/>
      <c r="B568" s="166"/>
      <c r="C568" s="166"/>
      <c r="D568" s="175" t="s">
        <v>1256</v>
      </c>
      <c r="G568" s="170"/>
      <c r="H568" s="186"/>
      <c r="I568" s="175"/>
      <c r="J568" s="192">
        <v>2</v>
      </c>
      <c r="K568" s="170"/>
      <c r="L568" s="185" t="s">
        <v>1483</v>
      </c>
      <c r="M568" s="170"/>
      <c r="N568" s="170"/>
      <c r="O568" s="222" t="s">
        <v>1256</v>
      </c>
      <c r="P568" s="170"/>
      <c r="Q568" s="170"/>
      <c r="R568" s="170"/>
      <c r="S568" s="170"/>
    </row>
    <row r="569" spans="1:19">
      <c r="A569" s="176"/>
      <c r="B569" s="166"/>
      <c r="C569" s="166"/>
      <c r="D569" s="175" t="s">
        <v>996</v>
      </c>
      <c r="G569" s="170"/>
      <c r="H569" s="186"/>
      <c r="I569" s="200"/>
      <c r="J569" s="195">
        <v>3</v>
      </c>
      <c r="K569" s="196"/>
      <c r="L569" s="197" t="s">
        <v>1484</v>
      </c>
      <c r="M569" s="196"/>
      <c r="N569" s="196"/>
      <c r="O569" s="240" t="s">
        <v>996</v>
      </c>
      <c r="P569" s="170"/>
      <c r="Q569" s="170"/>
      <c r="R569" s="170"/>
      <c r="S569" s="170"/>
    </row>
    <row r="570" spans="1:19" ht="15.75" thickBot="1">
      <c r="A570" s="176"/>
      <c r="B570" s="166"/>
      <c r="C570" s="166"/>
      <c r="D570" s="175" t="s">
        <v>996</v>
      </c>
      <c r="G570" s="170"/>
      <c r="H570" s="186"/>
      <c r="I570" s="203" t="s">
        <v>1057</v>
      </c>
      <c r="J570" s="170"/>
      <c r="K570" s="185" t="s">
        <v>1485</v>
      </c>
      <c r="L570" s="170"/>
      <c r="M570" s="170"/>
      <c r="N570" s="170"/>
      <c r="O570" s="222" t="s">
        <v>996</v>
      </c>
      <c r="P570" s="170"/>
      <c r="Q570" s="170"/>
      <c r="R570" s="170"/>
      <c r="S570" s="170"/>
    </row>
    <row r="571" spans="1:19" ht="15.75" thickTop="1">
      <c r="A571" s="176">
        <v>57</v>
      </c>
      <c r="B571" s="166" t="s">
        <v>1486</v>
      </c>
      <c r="C571" s="166" t="s">
        <v>1487</v>
      </c>
      <c r="D571" s="175"/>
      <c r="G571" s="170"/>
      <c r="H571" s="253">
        <v>57</v>
      </c>
      <c r="I571" s="209"/>
      <c r="J571" s="258"/>
      <c r="K571" s="259" t="s">
        <v>1487</v>
      </c>
      <c r="L571" s="258"/>
      <c r="M571" s="258"/>
      <c r="N571" s="258"/>
      <c r="O571" s="211"/>
      <c r="P571" s="170"/>
      <c r="Q571" s="184">
        <f>H571</f>
        <v>57</v>
      </c>
      <c r="R571" s="175" t="str">
        <f>CONCATENATE("II-",TEXT(Q571,"0000"))</f>
        <v>II-0057</v>
      </c>
      <c r="S571" s="185" t="str">
        <f>K571</f>
        <v>PASO A NIVEL</v>
      </c>
    </row>
    <row r="572" spans="1:19" ht="15.75" thickBot="1">
      <c r="A572" s="176"/>
      <c r="B572" s="166"/>
      <c r="C572" s="166"/>
      <c r="D572" s="175" t="s">
        <v>4</v>
      </c>
      <c r="G572" s="170"/>
      <c r="H572" s="212"/>
      <c r="I572" s="214" t="s">
        <v>1020</v>
      </c>
      <c r="J572" s="216"/>
      <c r="K572" s="247" t="s">
        <v>1488</v>
      </c>
      <c r="L572" s="247"/>
      <c r="M572" s="247"/>
      <c r="N572" s="247"/>
      <c r="O572" s="248" t="s">
        <v>4</v>
      </c>
      <c r="P572" s="170"/>
      <c r="Q572" s="170"/>
      <c r="R572" s="170"/>
      <c r="S572" s="170"/>
    </row>
    <row r="573" spans="1:19" ht="15.75" thickTop="1">
      <c r="A573" s="176">
        <v>58</v>
      </c>
      <c r="B573" s="166" t="s">
        <v>1489</v>
      </c>
      <c r="C573" s="166" t="s">
        <v>1490</v>
      </c>
      <c r="D573" s="175"/>
      <c r="G573" s="170"/>
      <c r="H573" s="253">
        <v>58</v>
      </c>
      <c r="I573" s="209"/>
      <c r="J573" s="258"/>
      <c r="K573" s="259" t="s">
        <v>1490</v>
      </c>
      <c r="L573" s="259"/>
      <c r="M573" s="259"/>
      <c r="N573" s="259"/>
      <c r="O573" s="211"/>
      <c r="P573" s="170"/>
      <c r="Q573" s="184">
        <f>H573</f>
        <v>58</v>
      </c>
      <c r="R573" s="175" t="str">
        <f>CONCATENATE("II-",TEXT(Q573,"0000"))</f>
        <v>II-0058</v>
      </c>
      <c r="S573" s="185" t="str">
        <f>K573</f>
        <v>PAVIMENTO DE HORMIGON</v>
      </c>
    </row>
    <row r="574" spans="1:19">
      <c r="A574" s="176"/>
      <c r="B574" s="166"/>
      <c r="C574" s="166"/>
      <c r="D574" s="175" t="s">
        <v>1214</v>
      </c>
      <c r="G574" s="170"/>
      <c r="H574" s="186"/>
      <c r="I574" s="289" t="s">
        <v>1020</v>
      </c>
      <c r="J574" s="170"/>
      <c r="K574" s="185" t="s">
        <v>1491</v>
      </c>
      <c r="L574" s="185"/>
      <c r="M574" s="185"/>
      <c r="N574" s="185"/>
      <c r="O574" s="222" t="s">
        <v>1214</v>
      </c>
      <c r="P574" s="170"/>
      <c r="Q574" s="170"/>
      <c r="R574" s="170"/>
      <c r="S574" s="170"/>
    </row>
    <row r="575" spans="1:19">
      <c r="A575" s="176"/>
      <c r="B575" s="166"/>
      <c r="C575" s="166"/>
      <c r="D575" s="175" t="s">
        <v>1214</v>
      </c>
      <c r="G575" s="170"/>
      <c r="H575" s="186"/>
      <c r="I575" s="187" t="s">
        <v>1047</v>
      </c>
      <c r="J575" s="228"/>
      <c r="K575" s="245" t="s">
        <v>1490</v>
      </c>
      <c r="L575" s="245"/>
      <c r="M575" s="245"/>
      <c r="N575" s="245"/>
      <c r="O575" s="244" t="s">
        <v>1214</v>
      </c>
      <c r="P575" s="170"/>
      <c r="Q575" s="170"/>
      <c r="R575" s="170"/>
      <c r="S575" s="170"/>
    </row>
    <row r="576" spans="1:19">
      <c r="A576" s="176"/>
      <c r="B576" s="166"/>
      <c r="C576" s="166"/>
      <c r="D576" s="175" t="s">
        <v>1214</v>
      </c>
      <c r="G576" s="170"/>
      <c r="H576" s="186"/>
      <c r="I576" s="195" t="s">
        <v>1057</v>
      </c>
      <c r="J576" s="196"/>
      <c r="K576" s="245" t="s">
        <v>1492</v>
      </c>
      <c r="L576" s="197"/>
      <c r="M576" s="197"/>
      <c r="N576" s="197"/>
      <c r="O576" s="240" t="s">
        <v>1214</v>
      </c>
      <c r="P576" s="170"/>
      <c r="Q576" s="170"/>
      <c r="R576" s="170"/>
      <c r="S576" s="170"/>
    </row>
    <row r="577" spans="1:19">
      <c r="A577" s="176"/>
      <c r="B577" s="166"/>
      <c r="C577" s="166"/>
      <c r="D577" s="175" t="s">
        <v>1214</v>
      </c>
      <c r="G577" s="170"/>
      <c r="H577" s="186"/>
      <c r="I577" s="192" t="s">
        <v>1083</v>
      </c>
      <c r="J577" s="170"/>
      <c r="K577" s="199" t="s">
        <v>1134</v>
      </c>
      <c r="L577" s="185"/>
      <c r="M577" s="185"/>
      <c r="N577" s="185"/>
      <c r="O577" s="222" t="s">
        <v>1214</v>
      </c>
      <c r="P577" s="170"/>
      <c r="Q577" s="170"/>
      <c r="R577" s="170"/>
      <c r="S577" s="170"/>
    </row>
    <row r="578" spans="1:19" ht="15.75" thickBot="1">
      <c r="A578" s="176">
        <v>59</v>
      </c>
      <c r="B578" s="166" t="s">
        <v>1493</v>
      </c>
      <c r="C578" s="166" t="s">
        <v>1494</v>
      </c>
      <c r="D578" s="175" t="s">
        <v>1131</v>
      </c>
      <c r="G578" s="170"/>
      <c r="H578" s="274">
        <v>59</v>
      </c>
      <c r="I578" s="275"/>
      <c r="J578" s="276"/>
      <c r="K578" s="298" t="s">
        <v>1494</v>
      </c>
      <c r="L578" s="276"/>
      <c r="M578" s="276"/>
      <c r="N578" s="276"/>
      <c r="O578" s="278" t="s">
        <v>1131</v>
      </c>
      <c r="P578" s="170"/>
      <c r="Q578" s="184">
        <f t="shared" ref="Q578:Q579" si="54">H578</f>
        <v>59</v>
      </c>
      <c r="R578" s="175" t="str">
        <f t="shared" ref="R578:R579" si="55">CONCATENATE("II-",TEXT(Q578,"0000"))</f>
        <v>II-0059</v>
      </c>
      <c r="S578" s="185" t="str">
        <f t="shared" ref="S578:S579" si="56">K578</f>
        <v>PEDRAPLEN</v>
      </c>
    </row>
    <row r="579" spans="1:19" ht="15.75" thickTop="1">
      <c r="A579" s="176">
        <v>60</v>
      </c>
      <c r="B579" s="166" t="s">
        <v>1495</v>
      </c>
      <c r="C579" s="166" t="s">
        <v>1496</v>
      </c>
      <c r="D579" s="175"/>
      <c r="G579" s="170"/>
      <c r="H579" s="208">
        <v>60</v>
      </c>
      <c r="I579" s="210"/>
      <c r="J579" s="220"/>
      <c r="K579" s="265" t="s">
        <v>1496</v>
      </c>
      <c r="L579" s="220"/>
      <c r="M579" s="220"/>
      <c r="N579" s="220"/>
      <c r="O579" s="230"/>
      <c r="P579" s="170"/>
      <c r="Q579" s="184">
        <f t="shared" si="54"/>
        <v>60</v>
      </c>
      <c r="R579" s="175" t="str">
        <f t="shared" si="55"/>
        <v>II-0060</v>
      </c>
      <c r="S579" s="185" t="str">
        <f t="shared" si="56"/>
        <v>PERFILADO</v>
      </c>
    </row>
    <row r="580" spans="1:19">
      <c r="A580" s="176"/>
      <c r="B580" s="166"/>
      <c r="C580" s="166"/>
      <c r="D580" s="175" t="s">
        <v>1214</v>
      </c>
      <c r="G580" s="170"/>
      <c r="H580" s="186"/>
      <c r="I580" s="289" t="s">
        <v>1020</v>
      </c>
      <c r="J580" s="170"/>
      <c r="K580" s="185" t="s">
        <v>1497</v>
      </c>
      <c r="L580" s="170"/>
      <c r="M580" s="170"/>
      <c r="N580" s="170"/>
      <c r="O580" s="222" t="s">
        <v>1214</v>
      </c>
      <c r="P580" s="170"/>
      <c r="Q580" s="170"/>
      <c r="R580" s="170"/>
      <c r="S580" s="170"/>
    </row>
    <row r="581" spans="1:19">
      <c r="A581" s="176"/>
      <c r="B581" s="166"/>
      <c r="C581" s="166"/>
      <c r="D581" s="175" t="s">
        <v>1214</v>
      </c>
      <c r="G581" s="170"/>
      <c r="H581" s="186"/>
      <c r="I581" s="187" t="s">
        <v>1047</v>
      </c>
      <c r="J581" s="228"/>
      <c r="K581" s="245" t="s">
        <v>1340</v>
      </c>
      <c r="L581" s="228"/>
      <c r="M581" s="228"/>
      <c r="N581" s="228"/>
      <c r="O581" s="244" t="s">
        <v>1214</v>
      </c>
      <c r="P581" s="170"/>
      <c r="Q581" s="170"/>
      <c r="R581" s="170"/>
      <c r="S581" s="170"/>
    </row>
    <row r="582" spans="1:19" ht="15.75" thickBot="1">
      <c r="A582" s="176"/>
      <c r="B582" s="166"/>
      <c r="C582" s="166"/>
      <c r="D582" s="175" t="s">
        <v>1214</v>
      </c>
      <c r="G582" s="170"/>
      <c r="H582" s="186"/>
      <c r="I582" s="203" t="s">
        <v>1057</v>
      </c>
      <c r="J582" s="170"/>
      <c r="K582" s="185" t="s">
        <v>1459</v>
      </c>
      <c r="L582" s="170"/>
      <c r="M582" s="170"/>
      <c r="N582" s="170"/>
      <c r="O582" s="222" t="s">
        <v>1214</v>
      </c>
      <c r="P582" s="170"/>
      <c r="Q582" s="170"/>
      <c r="R582" s="170"/>
      <c r="S582" s="170"/>
    </row>
    <row r="583" spans="1:19" ht="16.5" thickTop="1" thickBot="1">
      <c r="A583" s="176">
        <v>61</v>
      </c>
      <c r="B583" s="166" t="s">
        <v>1498</v>
      </c>
      <c r="C583" s="166" t="s">
        <v>1499</v>
      </c>
      <c r="D583" s="175" t="s">
        <v>1214</v>
      </c>
      <c r="G583" s="170"/>
      <c r="H583" s="279">
        <v>61</v>
      </c>
      <c r="I583" s="280"/>
      <c r="J583" s="281"/>
      <c r="K583" s="282" t="s">
        <v>1499</v>
      </c>
      <c r="L583" s="281"/>
      <c r="M583" s="281"/>
      <c r="N583" s="281"/>
      <c r="O583" s="283" t="s">
        <v>1214</v>
      </c>
      <c r="P583" s="170"/>
      <c r="Q583" s="184">
        <f t="shared" ref="Q583:Q584" si="57">H583</f>
        <v>61</v>
      </c>
      <c r="R583" s="175" t="str">
        <f t="shared" ref="R583:R584" si="58">CONCATENATE("II-",TEXT(Q583,"0000"))</f>
        <v>II-0061</v>
      </c>
      <c r="S583" s="185" t="str">
        <f t="shared" ref="S583:S584" si="59">K583</f>
        <v>PIEDRA COLOCADA</v>
      </c>
    </row>
    <row r="584" spans="1:19" ht="15.75" thickTop="1">
      <c r="A584" s="176">
        <v>62</v>
      </c>
      <c r="B584" s="166" t="s">
        <v>1500</v>
      </c>
      <c r="C584" s="166" t="s">
        <v>1501</v>
      </c>
      <c r="D584" s="175"/>
      <c r="G584" s="170"/>
      <c r="H584" s="208">
        <v>62</v>
      </c>
      <c r="I584" s="210"/>
      <c r="J584" s="220"/>
      <c r="K584" s="265" t="s">
        <v>1501</v>
      </c>
      <c r="L584" s="220"/>
      <c r="M584" s="220"/>
      <c r="N584" s="220"/>
      <c r="O584" s="230"/>
      <c r="P584" s="170"/>
      <c r="Q584" s="184">
        <f t="shared" si="57"/>
        <v>62</v>
      </c>
      <c r="R584" s="175" t="str">
        <f t="shared" si="58"/>
        <v>II-0062</v>
      </c>
      <c r="S584" s="185" t="str">
        <f t="shared" si="59"/>
        <v>PRADERIZACION</v>
      </c>
    </row>
    <row r="585" spans="1:19">
      <c r="A585" s="176"/>
      <c r="B585" s="166"/>
      <c r="C585" s="166"/>
      <c r="D585" s="175" t="s">
        <v>1214</v>
      </c>
      <c r="G585" s="170"/>
      <c r="H585" s="186"/>
      <c r="I585" s="289" t="s">
        <v>1020</v>
      </c>
      <c r="J585" s="170"/>
      <c r="K585" s="185" t="s">
        <v>1502</v>
      </c>
      <c r="L585" s="170"/>
      <c r="M585" s="170"/>
      <c r="N585" s="170"/>
      <c r="O585" s="222" t="s">
        <v>1214</v>
      </c>
      <c r="P585" s="170"/>
      <c r="Q585" s="170"/>
      <c r="R585" s="170"/>
      <c r="S585" s="170"/>
    </row>
    <row r="586" spans="1:19">
      <c r="A586" s="176"/>
      <c r="B586" s="166"/>
      <c r="C586" s="166"/>
      <c r="D586" s="175" t="s">
        <v>1214</v>
      </c>
      <c r="G586" s="170"/>
      <c r="H586" s="186"/>
      <c r="I586" s="187" t="s">
        <v>1047</v>
      </c>
      <c r="J586" s="228"/>
      <c r="K586" s="245" t="s">
        <v>1503</v>
      </c>
      <c r="L586" s="228"/>
      <c r="M586" s="228"/>
      <c r="N586" s="228"/>
      <c r="O586" s="244" t="s">
        <v>1214</v>
      </c>
      <c r="P586" s="170"/>
      <c r="Q586" s="170"/>
      <c r="R586" s="170"/>
      <c r="S586" s="170"/>
    </row>
    <row r="587" spans="1:19" ht="15.75" thickBot="1">
      <c r="A587" s="176"/>
      <c r="B587" s="166"/>
      <c r="C587" s="166"/>
      <c r="D587" s="175" t="s">
        <v>1504</v>
      </c>
      <c r="G587" s="170"/>
      <c r="H587" s="186"/>
      <c r="I587" s="203" t="s">
        <v>1057</v>
      </c>
      <c r="J587" s="170"/>
      <c r="K587" s="185" t="s">
        <v>1505</v>
      </c>
      <c r="L587" s="170"/>
      <c r="M587" s="170"/>
      <c r="N587" s="170"/>
      <c r="O587" s="222" t="s">
        <v>1504</v>
      </c>
      <c r="P587" s="170"/>
      <c r="Q587" s="170"/>
      <c r="R587" s="170"/>
      <c r="S587" s="170"/>
    </row>
    <row r="588" spans="1:19" ht="15.75" thickTop="1">
      <c r="A588" s="176">
        <v>63</v>
      </c>
      <c r="B588" s="166" t="s">
        <v>1506</v>
      </c>
      <c r="C588" s="166" t="s">
        <v>1507</v>
      </c>
      <c r="D588" s="175"/>
      <c r="G588" s="170"/>
      <c r="H588" s="253">
        <v>63</v>
      </c>
      <c r="I588" s="209"/>
      <c r="J588" s="258"/>
      <c r="K588" s="259" t="s">
        <v>1507</v>
      </c>
      <c r="L588" s="258"/>
      <c r="M588" s="258"/>
      <c r="N588" s="258"/>
      <c r="O588" s="211"/>
      <c r="P588" s="170"/>
      <c r="Q588" s="184">
        <f>H588</f>
        <v>63</v>
      </c>
      <c r="R588" s="175" t="str">
        <f>CONCATENATE("II-",TEXT(Q588,"0000"))</f>
        <v>II-0063</v>
      </c>
      <c r="S588" s="185" t="str">
        <f>K588</f>
        <v>PRETILES</v>
      </c>
    </row>
    <row r="589" spans="1:19">
      <c r="A589" s="176"/>
      <c r="B589" s="166"/>
      <c r="C589" s="166"/>
      <c r="D589" s="175" t="s">
        <v>1248</v>
      </c>
      <c r="G589" s="170"/>
      <c r="H589" s="186"/>
      <c r="I589" s="187" t="s">
        <v>1020</v>
      </c>
      <c r="J589" s="228"/>
      <c r="K589" s="299" t="s">
        <v>1508</v>
      </c>
      <c r="L589" s="300"/>
      <c r="M589" s="300"/>
      <c r="N589" s="228"/>
      <c r="O589" s="244" t="s">
        <v>1248</v>
      </c>
      <c r="P589" s="170"/>
      <c r="Q589" s="170"/>
      <c r="R589" s="170"/>
      <c r="S589" s="170"/>
    </row>
    <row r="590" spans="1:19" ht="15.75" thickBot="1">
      <c r="A590" s="176"/>
      <c r="B590" s="166"/>
      <c r="C590" s="166"/>
      <c r="D590" s="175" t="s">
        <v>1248</v>
      </c>
      <c r="G590" s="170"/>
      <c r="H590" s="201"/>
      <c r="I590" s="203" t="s">
        <v>1047</v>
      </c>
      <c r="J590" s="204"/>
      <c r="K590" s="301" t="s">
        <v>1509</v>
      </c>
      <c r="L590" s="302"/>
      <c r="M590" s="302"/>
      <c r="N590" s="204"/>
      <c r="O590" s="266" t="s">
        <v>1248</v>
      </c>
      <c r="P590" s="170"/>
      <c r="Q590" s="170"/>
      <c r="R590" s="170"/>
      <c r="S590" s="170"/>
    </row>
    <row r="591" spans="1:19" ht="15.75" thickTop="1">
      <c r="A591" s="176">
        <v>64</v>
      </c>
      <c r="B591" s="166" t="s">
        <v>1510</v>
      </c>
      <c r="C591" s="166" t="s">
        <v>1511</v>
      </c>
      <c r="D591" s="175"/>
      <c r="G591" s="170"/>
      <c r="H591" s="208">
        <v>64</v>
      </c>
      <c r="I591" s="210"/>
      <c r="J591" s="220"/>
      <c r="K591" s="265" t="s">
        <v>1511</v>
      </c>
      <c r="L591" s="220"/>
      <c r="M591" s="220"/>
      <c r="N591" s="220"/>
      <c r="O591" s="230"/>
      <c r="P591" s="170"/>
      <c r="Q591" s="184">
        <f>H591</f>
        <v>64</v>
      </c>
      <c r="R591" s="175" t="str">
        <f>CONCATENATE("II-",TEXT(Q591,"0000"))</f>
        <v>II-0064</v>
      </c>
      <c r="S591" s="185" t="str">
        <f>K591</f>
        <v>PROTECCION DE DUCTOS</v>
      </c>
    </row>
    <row r="592" spans="1:19" ht="15.75" thickBot="1">
      <c r="A592" s="176"/>
      <c r="B592" s="166"/>
      <c r="C592" s="166"/>
      <c r="D592" s="175" t="s">
        <v>1256</v>
      </c>
      <c r="G592" s="170"/>
      <c r="H592" s="186"/>
      <c r="I592" s="213" t="s">
        <v>1020</v>
      </c>
      <c r="J592" s="170"/>
      <c r="K592" s="185" t="s">
        <v>1512</v>
      </c>
      <c r="L592" s="185"/>
      <c r="M592" s="185"/>
      <c r="N592" s="170"/>
      <c r="O592" s="222" t="s">
        <v>1256</v>
      </c>
      <c r="P592" s="170"/>
      <c r="Q592" s="170"/>
      <c r="R592" s="170"/>
      <c r="S592" s="170"/>
    </row>
    <row r="593" spans="1:19" ht="15.75" thickTop="1">
      <c r="A593" s="176">
        <v>65</v>
      </c>
      <c r="B593" s="166" t="s">
        <v>1513</v>
      </c>
      <c r="C593" s="166" t="s">
        <v>1514</v>
      </c>
      <c r="D593" s="175"/>
      <c r="G593" s="170"/>
      <c r="H593" s="253">
        <v>65</v>
      </c>
      <c r="I593" s="209"/>
      <c r="J593" s="258"/>
      <c r="K593" s="259" t="s">
        <v>1514</v>
      </c>
      <c r="L593" s="258"/>
      <c r="M593" s="258"/>
      <c r="N593" s="258"/>
      <c r="O593" s="211"/>
      <c r="P593" s="170"/>
      <c r="Q593" s="184">
        <f>H593</f>
        <v>65</v>
      </c>
      <c r="R593" s="175" t="str">
        <f>CONCATENATE("II-",TEXT(Q593,"0000"))</f>
        <v>II-0065</v>
      </c>
      <c r="S593" s="185" t="str">
        <f>K593</f>
        <v xml:space="preserve">PUENTE </v>
      </c>
    </row>
    <row r="594" spans="1:19">
      <c r="A594" s="176"/>
      <c r="B594" s="166"/>
      <c r="C594" s="166"/>
      <c r="D594" s="175" t="s">
        <v>1131</v>
      </c>
      <c r="G594" s="170"/>
      <c r="H594" s="303"/>
      <c r="I594" s="289" t="s">
        <v>1020</v>
      </c>
      <c r="J594" s="170"/>
      <c r="K594" s="185" t="s">
        <v>1515</v>
      </c>
      <c r="L594" s="185"/>
      <c r="M594" s="185"/>
      <c r="N594" s="170"/>
      <c r="O594" s="222" t="s">
        <v>1131</v>
      </c>
      <c r="P594" s="170"/>
      <c r="Q594" s="170"/>
      <c r="R594" s="170"/>
      <c r="S594" s="170"/>
    </row>
    <row r="595" spans="1:19">
      <c r="A595" s="176"/>
      <c r="B595" s="166"/>
      <c r="C595" s="166"/>
      <c r="D595" s="175" t="s">
        <v>1131</v>
      </c>
      <c r="G595" s="170"/>
      <c r="H595" s="303"/>
      <c r="I595" s="187" t="s">
        <v>1047</v>
      </c>
      <c r="J595" s="228"/>
      <c r="K595" s="245" t="s">
        <v>1130</v>
      </c>
      <c r="L595" s="245"/>
      <c r="M595" s="245"/>
      <c r="N595" s="228"/>
      <c r="O595" s="244" t="s">
        <v>1131</v>
      </c>
      <c r="P595" s="170"/>
      <c r="Q595" s="170"/>
      <c r="R595" s="170"/>
      <c r="S595" s="170"/>
    </row>
    <row r="596" spans="1:19">
      <c r="A596" s="176"/>
      <c r="B596" s="166"/>
      <c r="C596" s="166"/>
      <c r="D596" s="175" t="s">
        <v>1024</v>
      </c>
      <c r="G596" s="170"/>
      <c r="H596" s="303"/>
      <c r="I596" s="187" t="s">
        <v>1057</v>
      </c>
      <c r="J596" s="228"/>
      <c r="K596" s="245" t="s">
        <v>1134</v>
      </c>
      <c r="L596" s="245"/>
      <c r="M596" s="245"/>
      <c r="N596" s="228"/>
      <c r="O596" s="244" t="s">
        <v>1024</v>
      </c>
      <c r="P596" s="170"/>
      <c r="Q596" s="170"/>
      <c r="R596" s="170"/>
      <c r="S596" s="170"/>
    </row>
    <row r="597" spans="1:19">
      <c r="A597" s="176"/>
      <c r="B597" s="166"/>
      <c r="C597" s="166"/>
      <c r="D597" s="175"/>
      <c r="G597" s="170"/>
      <c r="H597" s="303"/>
      <c r="I597" s="187" t="s">
        <v>1083</v>
      </c>
      <c r="J597" s="190"/>
      <c r="K597" s="185" t="s">
        <v>1516</v>
      </c>
      <c r="L597" s="185"/>
      <c r="M597" s="185"/>
      <c r="N597" s="170"/>
      <c r="O597" s="222"/>
      <c r="P597" s="170"/>
      <c r="Q597" s="170"/>
      <c r="R597" s="170"/>
      <c r="S597" s="170"/>
    </row>
    <row r="598" spans="1:19">
      <c r="A598" s="176"/>
      <c r="B598" s="166"/>
      <c r="C598" s="166"/>
      <c r="D598" s="175" t="s">
        <v>1214</v>
      </c>
      <c r="G598" s="170"/>
      <c r="H598" s="303"/>
      <c r="I598" s="175"/>
      <c r="J598" s="304">
        <v>1</v>
      </c>
      <c r="K598" s="185"/>
      <c r="L598" s="185" t="s">
        <v>1124</v>
      </c>
      <c r="M598" s="185"/>
      <c r="N598" s="170"/>
      <c r="O598" s="222" t="s">
        <v>1214</v>
      </c>
      <c r="P598" s="170"/>
      <c r="Q598" s="170"/>
      <c r="R598" s="170"/>
      <c r="S598" s="170"/>
    </row>
    <row r="599" spans="1:19" ht="15.75" thickBot="1">
      <c r="A599" s="176"/>
      <c r="B599" s="166"/>
      <c r="C599" s="166"/>
      <c r="D599" s="175" t="s">
        <v>1517</v>
      </c>
      <c r="G599" s="170"/>
      <c r="H599" s="305"/>
      <c r="I599" s="202"/>
      <c r="J599" s="306">
        <v>2</v>
      </c>
      <c r="K599" s="205"/>
      <c r="L599" s="205" t="s">
        <v>1518</v>
      </c>
      <c r="M599" s="205"/>
      <c r="N599" s="204"/>
      <c r="O599" s="266" t="s">
        <v>1517</v>
      </c>
      <c r="P599" s="170"/>
      <c r="Q599" s="170"/>
      <c r="R599" s="170"/>
      <c r="S599" s="170"/>
    </row>
    <row r="600" spans="1:19" ht="15.75" thickTop="1">
      <c r="A600" s="176">
        <v>66</v>
      </c>
      <c r="B600" s="166" t="s">
        <v>1519</v>
      </c>
      <c r="C600" s="166" t="s">
        <v>1520</v>
      </c>
      <c r="D600" s="175"/>
      <c r="G600" s="170"/>
      <c r="H600" s="208">
        <v>66</v>
      </c>
      <c r="I600" s="210"/>
      <c r="J600" s="220"/>
      <c r="K600" s="265" t="s">
        <v>1520</v>
      </c>
      <c r="L600" s="220"/>
      <c r="M600" s="220"/>
      <c r="N600" s="220"/>
      <c r="O600" s="230"/>
      <c r="P600" s="170"/>
      <c r="Q600" s="184">
        <f>H600</f>
        <v>66</v>
      </c>
      <c r="R600" s="175" t="str">
        <f>CONCATENATE("II-",TEXT(Q600,"0000"))</f>
        <v>II-0066</v>
      </c>
      <c r="S600" s="185" t="str">
        <f>K600</f>
        <v>PUENTE BAYLEY / FM</v>
      </c>
    </row>
    <row r="601" spans="1:19">
      <c r="A601" s="176"/>
      <c r="B601" s="166"/>
      <c r="C601" s="166"/>
      <c r="D601" s="175" t="s">
        <v>1256</v>
      </c>
      <c r="G601" s="170"/>
      <c r="H601" s="186"/>
      <c r="I601" s="289" t="s">
        <v>1020</v>
      </c>
      <c r="J601" s="170"/>
      <c r="K601" s="185" t="s">
        <v>1521</v>
      </c>
      <c r="L601" s="170"/>
      <c r="M601" s="170"/>
      <c r="N601" s="170"/>
      <c r="O601" s="222" t="s">
        <v>1256</v>
      </c>
      <c r="P601" s="170"/>
      <c r="Q601" s="170"/>
      <c r="R601" s="170"/>
      <c r="S601" s="170"/>
    </row>
    <row r="602" spans="1:19">
      <c r="A602" s="176"/>
      <c r="B602" s="166"/>
      <c r="C602" s="166"/>
      <c r="D602" s="175" t="s">
        <v>1256</v>
      </c>
      <c r="G602" s="170"/>
      <c r="H602" s="186"/>
      <c r="I602" s="187" t="s">
        <v>1047</v>
      </c>
      <c r="J602" s="228"/>
      <c r="K602" s="245" t="s">
        <v>1522</v>
      </c>
      <c r="L602" s="228"/>
      <c r="M602" s="228"/>
      <c r="N602" s="228"/>
      <c r="O602" s="244" t="s">
        <v>1256</v>
      </c>
      <c r="P602" s="170"/>
      <c r="Q602" s="170"/>
      <c r="R602" s="170"/>
      <c r="S602" s="170"/>
    </row>
    <row r="603" spans="1:19">
      <c r="A603" s="176"/>
      <c r="B603" s="166"/>
      <c r="C603" s="166"/>
      <c r="D603" s="175" t="s">
        <v>1256</v>
      </c>
      <c r="G603" s="170"/>
      <c r="H603" s="186"/>
      <c r="I603" s="187" t="s">
        <v>1057</v>
      </c>
      <c r="J603" s="170"/>
      <c r="K603" s="245" t="s">
        <v>1134</v>
      </c>
      <c r="L603" s="228"/>
      <c r="M603" s="228"/>
      <c r="N603" s="228"/>
      <c r="O603" s="244" t="s">
        <v>1256</v>
      </c>
      <c r="P603" s="170"/>
      <c r="Q603" s="170"/>
      <c r="R603" s="170"/>
      <c r="S603" s="170"/>
    </row>
    <row r="604" spans="1:19">
      <c r="A604" s="176"/>
      <c r="B604" s="166"/>
      <c r="C604" s="166"/>
      <c r="D604" s="175"/>
      <c r="G604" s="170"/>
      <c r="H604" s="186"/>
      <c r="I604" s="195" t="s">
        <v>1083</v>
      </c>
      <c r="J604" s="190"/>
      <c r="K604" s="185" t="s">
        <v>1516</v>
      </c>
      <c r="L604" s="185"/>
      <c r="M604" s="185"/>
      <c r="N604" s="170"/>
      <c r="O604" s="222"/>
      <c r="P604" s="170"/>
      <c r="Q604" s="170"/>
      <c r="R604" s="170"/>
      <c r="S604" s="170"/>
    </row>
    <row r="605" spans="1:19" ht="15.75" thickBot="1">
      <c r="A605" s="176"/>
      <c r="B605" s="166"/>
      <c r="C605" s="166"/>
      <c r="D605" s="175" t="s">
        <v>996</v>
      </c>
      <c r="G605" s="170"/>
      <c r="H605" s="186"/>
      <c r="I605" s="175"/>
      <c r="J605" s="304">
        <v>1</v>
      </c>
      <c r="K605" s="185"/>
      <c r="L605" s="185" t="s">
        <v>1124</v>
      </c>
      <c r="M605" s="185"/>
      <c r="N605" s="170"/>
      <c r="O605" s="222" t="s">
        <v>996</v>
      </c>
      <c r="P605" s="170"/>
      <c r="Q605" s="170"/>
      <c r="R605" s="170"/>
      <c r="S605" s="170"/>
    </row>
    <row r="606" spans="1:19" ht="15.75" thickTop="1">
      <c r="A606" s="176">
        <v>67</v>
      </c>
      <c r="B606" s="166" t="s">
        <v>1523</v>
      </c>
      <c r="C606" s="166" t="s">
        <v>1524</v>
      </c>
      <c r="D606" s="175"/>
      <c r="G606" s="170"/>
      <c r="H606" s="253">
        <v>67</v>
      </c>
      <c r="I606" s="209"/>
      <c r="J606" s="258"/>
      <c r="K606" s="259" t="s">
        <v>1524</v>
      </c>
      <c r="L606" s="258"/>
      <c r="M606" s="258"/>
      <c r="N606" s="258"/>
      <c r="O606" s="211"/>
      <c r="P606" s="170"/>
      <c r="Q606" s="184">
        <f>H606</f>
        <v>67</v>
      </c>
      <c r="R606" s="175" t="str">
        <f>CONCATENATE("II-",TEXT(Q606,"0000"))</f>
        <v>II-0067</v>
      </c>
      <c r="S606" s="185" t="str">
        <f>K606</f>
        <v>PUENTE CANAL</v>
      </c>
    </row>
    <row r="607" spans="1:19" ht="15.75" thickBot="1">
      <c r="A607" s="176"/>
      <c r="B607" s="166"/>
      <c r="C607" s="166"/>
      <c r="D607" s="175" t="s">
        <v>1256</v>
      </c>
      <c r="G607" s="170"/>
      <c r="H607" s="212"/>
      <c r="I607" s="213" t="s">
        <v>1020</v>
      </c>
      <c r="J607" s="216"/>
      <c r="K607" s="247" t="s">
        <v>1525</v>
      </c>
      <c r="L607" s="216"/>
      <c r="M607" s="216"/>
      <c r="N607" s="216"/>
      <c r="O607" s="248" t="s">
        <v>1256</v>
      </c>
      <c r="P607" s="170"/>
      <c r="Q607" s="170"/>
      <c r="R607" s="170"/>
      <c r="S607" s="170"/>
    </row>
    <row r="608" spans="1:19" ht="15.75" thickTop="1">
      <c r="A608" s="176">
        <v>68</v>
      </c>
      <c r="B608" s="166" t="s">
        <v>1526</v>
      </c>
      <c r="C608" s="166" t="s">
        <v>1527</v>
      </c>
      <c r="D608" s="175"/>
      <c r="G608" s="170"/>
      <c r="H608" s="208">
        <v>68</v>
      </c>
      <c r="I608" s="210"/>
      <c r="J608" s="220"/>
      <c r="K608" s="265" t="s">
        <v>1527</v>
      </c>
      <c r="L608" s="220"/>
      <c r="M608" s="220"/>
      <c r="N608" s="220"/>
      <c r="O608" s="230"/>
      <c r="P608" s="170"/>
      <c r="Q608" s="184">
        <f>H608</f>
        <v>68</v>
      </c>
      <c r="R608" s="175" t="str">
        <f>CONCATENATE("II-",TEXT(Q608,"0000"))</f>
        <v>II-0068</v>
      </c>
      <c r="S608" s="185" t="str">
        <f>K608</f>
        <v>REACONDICIONAMIENTO</v>
      </c>
    </row>
    <row r="609" spans="1:19">
      <c r="A609" s="176"/>
      <c r="B609" s="166"/>
      <c r="C609" s="166"/>
      <c r="D609" s="175" t="s">
        <v>1256</v>
      </c>
      <c r="G609" s="170"/>
      <c r="H609" s="186"/>
      <c r="I609" s="289" t="s">
        <v>1020</v>
      </c>
      <c r="J609" s="170"/>
      <c r="K609" s="185" t="s">
        <v>1073</v>
      </c>
      <c r="L609" s="170"/>
      <c r="M609" s="170"/>
      <c r="N609" s="170"/>
      <c r="O609" s="222" t="s">
        <v>1256</v>
      </c>
      <c r="P609" s="170"/>
      <c r="Q609" s="170"/>
      <c r="R609" s="170"/>
      <c r="S609" s="170"/>
    </row>
    <row r="610" spans="1:19">
      <c r="A610" s="176"/>
      <c r="B610" s="166"/>
      <c r="C610" s="166"/>
      <c r="D610" s="175" t="s">
        <v>1131</v>
      </c>
      <c r="G610" s="170"/>
      <c r="H610" s="186"/>
      <c r="I610" s="187" t="s">
        <v>1047</v>
      </c>
      <c r="J610" s="228"/>
      <c r="K610" s="245" t="s">
        <v>1528</v>
      </c>
      <c r="L610" s="228"/>
      <c r="M610" s="228"/>
      <c r="N610" s="228"/>
      <c r="O610" s="244" t="s">
        <v>1131</v>
      </c>
      <c r="P610" s="170"/>
      <c r="Q610" s="170"/>
      <c r="R610" s="170"/>
      <c r="S610" s="170"/>
    </row>
    <row r="611" spans="1:19" ht="15.75" thickBot="1">
      <c r="A611" s="176"/>
      <c r="B611" s="166"/>
      <c r="C611" s="166"/>
      <c r="D611" s="175" t="s">
        <v>1256</v>
      </c>
      <c r="G611" s="170"/>
      <c r="H611" s="186"/>
      <c r="I611" s="203" t="s">
        <v>1057</v>
      </c>
      <c r="J611" s="170"/>
      <c r="K611" s="185" t="s">
        <v>1529</v>
      </c>
      <c r="L611" s="170"/>
      <c r="M611" s="170"/>
      <c r="N611" s="170"/>
      <c r="O611" s="222" t="s">
        <v>1256</v>
      </c>
      <c r="P611" s="170"/>
      <c r="Q611" s="170"/>
      <c r="R611" s="170"/>
      <c r="S611" s="170"/>
    </row>
    <row r="612" spans="1:19" ht="15.75" thickTop="1">
      <c r="A612" s="176">
        <v>69</v>
      </c>
      <c r="B612" s="166" t="s">
        <v>1530</v>
      </c>
      <c r="C612" s="166" t="s">
        <v>1531</v>
      </c>
      <c r="D612" s="175"/>
      <c r="G612" s="170"/>
      <c r="H612" s="253">
        <v>69</v>
      </c>
      <c r="I612" s="209"/>
      <c r="J612" s="258"/>
      <c r="K612" s="259" t="s">
        <v>1531</v>
      </c>
      <c r="L612" s="258"/>
      <c r="M612" s="258"/>
      <c r="N612" s="258"/>
      <c r="O612" s="211"/>
      <c r="P612" s="170"/>
      <c r="Q612" s="184">
        <f>H612</f>
        <v>69</v>
      </c>
      <c r="R612" s="175" t="str">
        <f>CONCATENATE("II-",TEXT(Q612,"0000"))</f>
        <v>II-0069</v>
      </c>
      <c r="S612" s="185" t="str">
        <f>K612</f>
        <v>RECICLADO DE PAVIMENTO</v>
      </c>
    </row>
    <row r="613" spans="1:19">
      <c r="A613" s="176"/>
      <c r="B613" s="166"/>
      <c r="C613" s="166"/>
      <c r="D613" s="175" t="s">
        <v>1131</v>
      </c>
      <c r="G613" s="170"/>
      <c r="H613" s="303"/>
      <c r="I613" s="195" t="s">
        <v>1020</v>
      </c>
      <c r="J613" s="228"/>
      <c r="K613" s="245" t="s">
        <v>1532</v>
      </c>
      <c r="L613" s="245"/>
      <c r="M613" s="245"/>
      <c r="N613" s="228"/>
      <c r="O613" s="244" t="s">
        <v>1131</v>
      </c>
      <c r="P613" s="170"/>
      <c r="Q613" s="170"/>
      <c r="R613" s="170"/>
      <c r="S613" s="170"/>
    </row>
    <row r="614" spans="1:19">
      <c r="A614" s="176"/>
      <c r="B614" s="166"/>
      <c r="C614" s="166"/>
      <c r="D614" s="175"/>
      <c r="G614" s="170"/>
      <c r="H614" s="303"/>
      <c r="I614" s="187" t="s">
        <v>1047</v>
      </c>
      <c r="J614" s="175"/>
      <c r="K614" s="185" t="s">
        <v>1533</v>
      </c>
      <c r="L614" s="185"/>
      <c r="M614" s="185"/>
      <c r="N614" s="170"/>
      <c r="O614" s="222"/>
      <c r="P614" s="170"/>
      <c r="Q614" s="170"/>
      <c r="R614" s="170"/>
      <c r="S614" s="170"/>
    </row>
    <row r="615" spans="1:19">
      <c r="A615" s="176"/>
      <c r="B615" s="166"/>
      <c r="C615" s="166"/>
      <c r="D615" s="175" t="s">
        <v>1131</v>
      </c>
      <c r="G615" s="170"/>
      <c r="H615" s="303"/>
      <c r="I615" s="175"/>
      <c r="J615" s="192">
        <v>1</v>
      </c>
      <c r="K615" s="185"/>
      <c r="L615" s="185" t="s">
        <v>1534</v>
      </c>
      <c r="M615" s="170"/>
      <c r="N615" s="170"/>
      <c r="O615" s="222" t="s">
        <v>1131</v>
      </c>
      <c r="P615" s="170"/>
      <c r="Q615" s="170"/>
      <c r="R615" s="170"/>
      <c r="S615" s="170"/>
    </row>
    <row r="616" spans="1:19" ht="15.75" thickBot="1">
      <c r="A616" s="176"/>
      <c r="B616" s="166"/>
      <c r="C616" s="166"/>
      <c r="D616" s="175" t="s">
        <v>1131</v>
      </c>
      <c r="G616" s="170"/>
      <c r="H616" s="305"/>
      <c r="I616" s="202"/>
      <c r="J616" s="203">
        <v>2</v>
      </c>
      <c r="K616" s="205"/>
      <c r="L616" s="205" t="s">
        <v>1535</v>
      </c>
      <c r="M616" s="204"/>
      <c r="N616" s="204"/>
      <c r="O616" s="266" t="s">
        <v>1131</v>
      </c>
      <c r="P616" s="170"/>
      <c r="Q616" s="170"/>
      <c r="R616" s="170"/>
      <c r="S616" s="170"/>
    </row>
    <row r="617" spans="1:19" ht="16.5" thickTop="1" thickBot="1">
      <c r="A617" s="176">
        <v>70</v>
      </c>
      <c r="B617" s="166" t="s">
        <v>1536</v>
      </c>
      <c r="C617" s="166" t="s">
        <v>1537</v>
      </c>
      <c r="D617" s="175" t="s">
        <v>1214</v>
      </c>
      <c r="G617" s="170"/>
      <c r="H617" s="208">
        <v>70</v>
      </c>
      <c r="I617" s="210"/>
      <c r="J617" s="220"/>
      <c r="K617" s="265" t="s">
        <v>1537</v>
      </c>
      <c r="L617" s="220"/>
      <c r="M617" s="220"/>
      <c r="N617" s="220"/>
      <c r="O617" s="230" t="s">
        <v>1214</v>
      </c>
      <c r="P617" s="170"/>
      <c r="Q617" s="184">
        <f t="shared" ref="Q617:Q618" si="60">H617</f>
        <v>70</v>
      </c>
      <c r="R617" s="175" t="str">
        <f t="shared" ref="R617:R618" si="61">CONCATENATE("II-",TEXT(Q617,"0000"))</f>
        <v>II-0070</v>
      </c>
      <c r="S617" s="185" t="str">
        <f t="shared" ref="S617:S618" si="62">K617</f>
        <v>RECLAMADO</v>
      </c>
    </row>
    <row r="618" spans="1:19" ht="15.75" thickTop="1">
      <c r="A618" s="176">
        <v>71</v>
      </c>
      <c r="B618" s="166" t="s">
        <v>1538</v>
      </c>
      <c r="C618" s="166" t="s">
        <v>1539</v>
      </c>
      <c r="D618" s="175"/>
      <c r="G618" s="170"/>
      <c r="H618" s="253">
        <v>71</v>
      </c>
      <c r="I618" s="209"/>
      <c r="J618" s="258"/>
      <c r="K618" s="297" t="s">
        <v>1539</v>
      </c>
      <c r="L618" s="258"/>
      <c r="M618" s="258"/>
      <c r="N618" s="258"/>
      <c r="O618" s="211"/>
      <c r="P618" s="170"/>
      <c r="Q618" s="184">
        <f t="shared" si="60"/>
        <v>71</v>
      </c>
      <c r="R618" s="175" t="str">
        <f t="shared" si="61"/>
        <v>II-0071</v>
      </c>
      <c r="S618" s="185" t="str">
        <f t="shared" si="62"/>
        <v>RECUBRIMIENTO VEGETAL</v>
      </c>
    </row>
    <row r="619" spans="1:19">
      <c r="A619" s="176"/>
      <c r="B619" s="166"/>
      <c r="C619" s="166"/>
      <c r="D619" s="175" t="s">
        <v>1214</v>
      </c>
      <c r="G619" s="170"/>
      <c r="H619" s="186"/>
      <c r="I619" s="187" t="s">
        <v>1020</v>
      </c>
      <c r="J619" s="228"/>
      <c r="K619" s="245" t="s">
        <v>1320</v>
      </c>
      <c r="L619" s="245"/>
      <c r="M619" s="245"/>
      <c r="N619" s="228"/>
      <c r="O619" s="244" t="s">
        <v>1214</v>
      </c>
      <c r="P619" s="170"/>
      <c r="Q619" s="170"/>
      <c r="R619" s="170"/>
      <c r="S619" s="170"/>
    </row>
    <row r="620" spans="1:19" ht="15.75" thickBot="1">
      <c r="A620" s="176"/>
      <c r="B620" s="166"/>
      <c r="C620" s="166"/>
      <c r="D620" s="175" t="s">
        <v>997</v>
      </c>
      <c r="G620" s="170"/>
      <c r="H620" s="186"/>
      <c r="I620" s="203" t="s">
        <v>1047</v>
      </c>
      <c r="J620" s="170"/>
      <c r="K620" s="205" t="s">
        <v>1322</v>
      </c>
      <c r="L620" s="185"/>
      <c r="M620" s="185"/>
      <c r="N620" s="170"/>
      <c r="O620" s="222" t="s">
        <v>997</v>
      </c>
      <c r="P620" s="170"/>
      <c r="Q620" s="170"/>
      <c r="R620" s="170"/>
      <c r="S620" s="170"/>
    </row>
    <row r="621" spans="1:19" ht="16.5" thickTop="1" thickBot="1">
      <c r="A621" s="176">
        <v>72</v>
      </c>
      <c r="B621" s="166" t="s">
        <v>1540</v>
      </c>
      <c r="C621" s="166" t="s">
        <v>1541</v>
      </c>
      <c r="D621" s="175" t="s">
        <v>4</v>
      </c>
      <c r="G621" s="170"/>
      <c r="H621" s="260">
        <v>72</v>
      </c>
      <c r="I621" s="261"/>
      <c r="J621" s="262"/>
      <c r="K621" s="263" t="s">
        <v>1541</v>
      </c>
      <c r="L621" s="262"/>
      <c r="M621" s="262"/>
      <c r="N621" s="262"/>
      <c r="O621" s="264" t="s">
        <v>4</v>
      </c>
      <c r="P621" s="170"/>
      <c r="Q621" s="184">
        <f>H621</f>
        <v>72</v>
      </c>
      <c r="R621" s="175" t="str">
        <f>CONCATENATE("II-",TEXT(Q621,"0000"))</f>
        <v>II-0072</v>
      </c>
      <c r="S621" s="185" t="str">
        <f>K621</f>
        <v>RESTITUCION DE GALIVO</v>
      </c>
    </row>
    <row r="622" spans="1:19">
      <c r="A622" s="176"/>
      <c r="B622" s="166"/>
      <c r="C622" s="166"/>
      <c r="D622" s="175"/>
      <c r="G622" s="170"/>
      <c r="H622" s="238"/>
      <c r="I622" s="175"/>
      <c r="J622" s="170"/>
      <c r="K622" s="185"/>
      <c r="L622" s="170"/>
      <c r="M622" s="170"/>
      <c r="N622" s="170"/>
      <c r="O622" s="173"/>
      <c r="P622" s="170"/>
      <c r="Q622" s="170"/>
      <c r="R622" s="170"/>
      <c r="S622" s="170"/>
    </row>
    <row r="623" spans="1:19">
      <c r="A623" s="176"/>
      <c r="B623" s="166"/>
      <c r="C623" s="166"/>
      <c r="D623" s="175"/>
      <c r="G623" s="170"/>
      <c r="H623" s="238"/>
      <c r="I623" s="175"/>
      <c r="J623" s="170"/>
      <c r="K623" s="185"/>
      <c r="L623" s="170"/>
      <c r="M623" s="170"/>
      <c r="N623" s="170"/>
      <c r="O623" s="173"/>
      <c r="P623" s="170"/>
      <c r="Q623" s="170"/>
      <c r="R623" s="170"/>
      <c r="S623" s="170"/>
    </row>
    <row r="624" spans="1:19">
      <c r="A624" s="176"/>
      <c r="B624" s="166"/>
      <c r="C624" s="166"/>
      <c r="D624" s="175"/>
      <c r="G624" s="170"/>
      <c r="H624" s="208">
        <v>73</v>
      </c>
      <c r="I624" s="210"/>
      <c r="J624" s="220"/>
      <c r="K624" s="265" t="s">
        <v>1542</v>
      </c>
      <c r="L624" s="220"/>
      <c r="M624" s="220"/>
      <c r="N624" s="220"/>
      <c r="O624" s="230"/>
      <c r="P624" s="170"/>
      <c r="Q624" s="170"/>
      <c r="R624" s="170"/>
      <c r="S624" s="170"/>
    </row>
    <row r="625" spans="1:19">
      <c r="A625" s="176"/>
      <c r="B625" s="166"/>
      <c r="C625" s="166"/>
      <c r="D625" s="175"/>
      <c r="G625" s="170"/>
      <c r="H625" s="303"/>
      <c r="I625" s="187" t="s">
        <v>1020</v>
      </c>
      <c r="J625" s="190"/>
      <c r="K625" s="185" t="s">
        <v>1497</v>
      </c>
      <c r="L625" s="185"/>
      <c r="M625" s="185"/>
      <c r="N625" s="170"/>
      <c r="O625" s="222"/>
      <c r="P625" s="170"/>
      <c r="Q625" s="170"/>
      <c r="R625" s="170"/>
      <c r="S625" s="170"/>
    </row>
    <row r="626" spans="1:19">
      <c r="A626" s="176"/>
      <c r="B626" s="166"/>
      <c r="C626" s="166"/>
      <c r="D626" s="175" t="s">
        <v>1214</v>
      </c>
      <c r="G626" s="170"/>
      <c r="H626" s="303"/>
      <c r="I626" s="175"/>
      <c r="J626" s="192">
        <v>1</v>
      </c>
      <c r="K626" s="185"/>
      <c r="L626" s="185" t="s">
        <v>1325</v>
      </c>
      <c r="M626" s="185"/>
      <c r="N626" s="170"/>
      <c r="O626" s="222" t="s">
        <v>1214</v>
      </c>
      <c r="P626" s="170"/>
      <c r="Q626" s="170"/>
      <c r="R626" s="170"/>
      <c r="S626" s="170"/>
    </row>
    <row r="627" spans="1:19">
      <c r="A627" s="176"/>
      <c r="B627" s="166"/>
      <c r="C627" s="166"/>
      <c r="D627" s="175" t="s">
        <v>1214</v>
      </c>
      <c r="G627" s="170"/>
      <c r="H627" s="303"/>
      <c r="I627" s="175"/>
      <c r="J627" s="192">
        <v>2</v>
      </c>
      <c r="K627" s="185"/>
      <c r="L627" s="185" t="s">
        <v>1543</v>
      </c>
      <c r="M627" s="170"/>
      <c r="N627" s="170"/>
      <c r="O627" s="222" t="s">
        <v>1214</v>
      </c>
      <c r="P627" s="170"/>
      <c r="Q627" s="170"/>
      <c r="R627" s="170"/>
      <c r="S627" s="170"/>
    </row>
    <row r="628" spans="1:19">
      <c r="A628" s="176"/>
      <c r="B628" s="166"/>
      <c r="C628" s="166"/>
      <c r="D628" s="175" t="s">
        <v>1214</v>
      </c>
      <c r="G628" s="170"/>
      <c r="H628" s="303"/>
      <c r="I628" s="175"/>
      <c r="J628" s="192">
        <v>3</v>
      </c>
      <c r="K628" s="185"/>
      <c r="L628" s="185" t="s">
        <v>1544</v>
      </c>
      <c r="M628" s="170"/>
      <c r="N628" s="170"/>
      <c r="O628" s="222" t="s">
        <v>1214</v>
      </c>
      <c r="P628" s="170"/>
      <c r="Q628" s="170"/>
      <c r="R628" s="170"/>
      <c r="S628" s="170"/>
    </row>
    <row r="629" spans="1:19">
      <c r="A629" s="176"/>
      <c r="B629" s="166"/>
      <c r="C629" s="166"/>
      <c r="D629" s="175" t="s">
        <v>1214</v>
      </c>
      <c r="G629" s="170"/>
      <c r="H629" s="303"/>
      <c r="I629" s="175"/>
      <c r="J629" s="192">
        <v>4</v>
      </c>
      <c r="K629" s="185"/>
      <c r="L629" s="185" t="s">
        <v>1545</v>
      </c>
      <c r="M629" s="170"/>
      <c r="N629" s="170"/>
      <c r="O629" s="222" t="s">
        <v>1214</v>
      </c>
      <c r="P629" s="170"/>
      <c r="Q629" s="170"/>
      <c r="R629" s="170"/>
      <c r="S629" s="170"/>
    </row>
    <row r="630" spans="1:19">
      <c r="A630" s="176"/>
      <c r="B630" s="166"/>
      <c r="C630" s="166"/>
      <c r="D630" s="175" t="s">
        <v>1214</v>
      </c>
      <c r="G630" s="170"/>
      <c r="H630" s="303"/>
      <c r="I630" s="175"/>
      <c r="J630" s="192">
        <v>5</v>
      </c>
      <c r="K630" s="185"/>
      <c r="L630" s="185" t="s">
        <v>1546</v>
      </c>
      <c r="M630" s="170"/>
      <c r="N630" s="170"/>
      <c r="O630" s="222" t="s">
        <v>1214</v>
      </c>
      <c r="P630" s="170"/>
      <c r="Q630" s="170"/>
      <c r="R630" s="170"/>
      <c r="S630" s="170"/>
    </row>
    <row r="631" spans="1:19">
      <c r="A631" s="176"/>
      <c r="B631" s="166"/>
      <c r="C631" s="166"/>
      <c r="D631" s="175" t="s">
        <v>1214</v>
      </c>
      <c r="G631" s="170"/>
      <c r="H631" s="303"/>
      <c r="I631" s="187" t="s">
        <v>1047</v>
      </c>
      <c r="J631" s="228"/>
      <c r="K631" s="245" t="s">
        <v>1319</v>
      </c>
      <c r="L631" s="228"/>
      <c r="M631" s="228"/>
      <c r="N631" s="228"/>
      <c r="O631" s="244" t="s">
        <v>1214</v>
      </c>
      <c r="P631" s="170"/>
      <c r="Q631" s="185"/>
      <c r="R631" s="170"/>
      <c r="S631" s="170"/>
    </row>
    <row r="632" spans="1:19">
      <c r="A632" s="176"/>
      <c r="B632" s="166"/>
      <c r="C632" s="166"/>
      <c r="D632" s="175"/>
      <c r="G632" s="170"/>
      <c r="H632" s="303"/>
      <c r="I632" s="187" t="s">
        <v>1057</v>
      </c>
      <c r="J632" s="175"/>
      <c r="K632" s="185" t="s">
        <v>1340</v>
      </c>
      <c r="L632" s="185"/>
      <c r="M632" s="170"/>
      <c r="N632" s="170"/>
      <c r="O632" s="222"/>
      <c r="P632" s="170"/>
      <c r="Q632" s="170"/>
      <c r="R632" s="170"/>
      <c r="S632" s="170"/>
    </row>
    <row r="633" spans="1:19">
      <c r="A633" s="176"/>
      <c r="B633" s="166"/>
      <c r="C633" s="166"/>
      <c r="D633" s="175" t="s">
        <v>1214</v>
      </c>
      <c r="G633" s="170"/>
      <c r="H633" s="303"/>
      <c r="I633" s="175"/>
      <c r="J633" s="192">
        <v>1</v>
      </c>
      <c r="K633" s="185"/>
      <c r="L633" s="185" t="s">
        <v>1325</v>
      </c>
      <c r="M633" s="170"/>
      <c r="N633" s="170"/>
      <c r="O633" s="222" t="s">
        <v>1214</v>
      </c>
      <c r="P633" s="170"/>
      <c r="Q633" s="170"/>
      <c r="R633" s="170"/>
      <c r="S633" s="170"/>
    </row>
    <row r="634" spans="1:19">
      <c r="A634" s="176"/>
      <c r="B634" s="166"/>
      <c r="C634" s="166"/>
      <c r="D634" s="175" t="s">
        <v>1214</v>
      </c>
      <c r="G634" s="170"/>
      <c r="H634" s="303"/>
      <c r="I634" s="175"/>
      <c r="J634" s="192">
        <v>2</v>
      </c>
      <c r="K634" s="185"/>
      <c r="L634" s="185" t="s">
        <v>1543</v>
      </c>
      <c r="M634" s="170"/>
      <c r="N634" s="170"/>
      <c r="O634" s="222" t="s">
        <v>1214</v>
      </c>
      <c r="P634" s="170"/>
      <c r="Q634" s="170"/>
      <c r="R634" s="170"/>
      <c r="S634" s="170"/>
    </row>
    <row r="635" spans="1:19">
      <c r="A635" s="176"/>
      <c r="B635" s="166"/>
      <c r="C635" s="166"/>
      <c r="D635" s="175" t="s">
        <v>1214</v>
      </c>
      <c r="G635" s="170"/>
      <c r="H635" s="303"/>
      <c r="I635" s="175"/>
      <c r="J635" s="192">
        <v>3</v>
      </c>
      <c r="K635" s="185"/>
      <c r="L635" s="185" t="s">
        <v>1544</v>
      </c>
      <c r="M635" s="170"/>
      <c r="N635" s="170"/>
      <c r="O635" s="222" t="s">
        <v>1214</v>
      </c>
      <c r="P635" s="170"/>
      <c r="Q635" s="170"/>
      <c r="R635" s="170"/>
      <c r="S635" s="170"/>
    </row>
    <row r="636" spans="1:19">
      <c r="A636" s="176"/>
      <c r="B636" s="166"/>
      <c r="C636" s="166"/>
      <c r="D636" s="175" t="s">
        <v>1214</v>
      </c>
      <c r="G636" s="170"/>
      <c r="H636" s="303"/>
      <c r="I636" s="175"/>
      <c r="J636" s="192">
        <v>4</v>
      </c>
      <c r="K636" s="185"/>
      <c r="L636" s="185" t="s">
        <v>1545</v>
      </c>
      <c r="M636" s="170"/>
      <c r="N636" s="170"/>
      <c r="O636" s="222" t="s">
        <v>1214</v>
      </c>
      <c r="P636" s="170"/>
      <c r="Q636" s="170"/>
      <c r="R636" s="170"/>
      <c r="S636" s="170"/>
    </row>
    <row r="637" spans="1:19">
      <c r="A637" s="176"/>
      <c r="B637" s="166"/>
      <c r="C637" s="166"/>
      <c r="D637" s="175" t="s">
        <v>1214</v>
      </c>
      <c r="G637" s="170"/>
      <c r="H637" s="303"/>
      <c r="I637" s="239"/>
      <c r="J637" s="195">
        <v>5</v>
      </c>
      <c r="K637" s="197"/>
      <c r="L637" s="197" t="s">
        <v>1546</v>
      </c>
      <c r="M637" s="196"/>
      <c r="N637" s="196"/>
      <c r="O637" s="240" t="s">
        <v>1214</v>
      </c>
      <c r="P637" s="170"/>
      <c r="Q637" s="170"/>
      <c r="R637" s="170"/>
      <c r="S637" s="170"/>
    </row>
    <row r="638" spans="1:19" ht="15.75" thickBot="1">
      <c r="A638" s="176"/>
      <c r="B638" s="166"/>
      <c r="C638" s="166"/>
      <c r="D638" s="175" t="s">
        <v>1214</v>
      </c>
      <c r="G638" s="170"/>
      <c r="H638" s="303"/>
      <c r="I638" s="203" t="s">
        <v>1083</v>
      </c>
      <c r="J638" s="175"/>
      <c r="K638" s="185" t="s">
        <v>1322</v>
      </c>
      <c r="L638" s="185"/>
      <c r="M638" s="170"/>
      <c r="N638" s="170"/>
      <c r="O638" s="222" t="s">
        <v>1214</v>
      </c>
      <c r="P638" s="170"/>
      <c r="Q638" s="170"/>
      <c r="R638" s="170"/>
      <c r="S638" s="170"/>
    </row>
    <row r="639" spans="1:19" ht="15.75" thickTop="1">
      <c r="A639" s="176">
        <v>74</v>
      </c>
      <c r="B639" s="166" t="s">
        <v>1547</v>
      </c>
      <c r="C639" s="166" t="s">
        <v>1548</v>
      </c>
      <c r="D639" s="175"/>
      <c r="G639" s="170"/>
      <c r="H639" s="253">
        <v>74</v>
      </c>
      <c r="I639" s="209"/>
      <c r="J639" s="258"/>
      <c r="K639" s="259" t="s">
        <v>1548</v>
      </c>
      <c r="L639" s="258"/>
      <c r="M639" s="258"/>
      <c r="N639" s="258"/>
      <c r="O639" s="211"/>
      <c r="P639" s="170"/>
      <c r="Q639" s="184">
        <f>H639</f>
        <v>74</v>
      </c>
      <c r="R639" s="175" t="str">
        <f>CONCATENATE("II-",TEXT(Q639,"0000"))</f>
        <v>II-0074</v>
      </c>
      <c r="S639" s="185" t="str">
        <f>K639</f>
        <v>RIEGO</v>
      </c>
    </row>
    <row r="640" spans="1:19">
      <c r="A640" s="176"/>
      <c r="B640" s="166"/>
      <c r="C640" s="166"/>
      <c r="D640" s="175" t="s">
        <v>1214</v>
      </c>
      <c r="G640" s="170"/>
      <c r="H640" s="186"/>
      <c r="I640" s="187" t="s">
        <v>1020</v>
      </c>
      <c r="J640" s="228"/>
      <c r="K640" s="245" t="s">
        <v>1549</v>
      </c>
      <c r="L640" s="228"/>
      <c r="M640" s="228"/>
      <c r="N640" s="228"/>
      <c r="O640" s="244" t="s">
        <v>1214</v>
      </c>
      <c r="P640" s="170"/>
      <c r="Q640" s="170"/>
      <c r="R640" s="170"/>
      <c r="S640" s="170"/>
    </row>
    <row r="641" spans="1:19" ht="15.75" thickBot="1">
      <c r="A641" s="176"/>
      <c r="B641" s="166"/>
      <c r="C641" s="166"/>
      <c r="D641" s="175" t="s">
        <v>1214</v>
      </c>
      <c r="G641" s="170"/>
      <c r="H641" s="201"/>
      <c r="I641" s="203" t="s">
        <v>1047</v>
      </c>
      <c r="J641" s="204"/>
      <c r="K641" s="205" t="s">
        <v>1550</v>
      </c>
      <c r="L641" s="204"/>
      <c r="M641" s="204"/>
      <c r="N641" s="204"/>
      <c r="O641" s="266" t="s">
        <v>1214</v>
      </c>
      <c r="P641" s="170"/>
      <c r="Q641" s="170"/>
      <c r="R641" s="170"/>
      <c r="S641" s="170"/>
    </row>
    <row r="642" spans="1:19" ht="15.75" thickTop="1">
      <c r="A642" s="176">
        <v>75</v>
      </c>
      <c r="B642" s="166" t="s">
        <v>1551</v>
      </c>
      <c r="C642" s="166" t="s">
        <v>1552</v>
      </c>
      <c r="D642" s="175"/>
      <c r="G642" s="170"/>
      <c r="H642" s="208">
        <v>75</v>
      </c>
      <c r="I642" s="210"/>
      <c r="J642" s="220"/>
      <c r="K642" s="265" t="s">
        <v>1552</v>
      </c>
      <c r="L642" s="220"/>
      <c r="M642" s="220"/>
      <c r="N642" s="220"/>
      <c r="O642" s="230"/>
      <c r="P642" s="170"/>
      <c r="Q642" s="184">
        <f>H642</f>
        <v>75</v>
      </c>
      <c r="R642" s="175" t="str">
        <f>CONCATENATE("II-",TEXT(Q642,"0000"))</f>
        <v>II-0075</v>
      </c>
      <c r="S642" s="185" t="str">
        <f>K642</f>
        <v>SALTO</v>
      </c>
    </row>
    <row r="643" spans="1:19">
      <c r="A643" s="176"/>
      <c r="B643" s="166"/>
      <c r="C643" s="166"/>
      <c r="D643" s="175" t="s">
        <v>1256</v>
      </c>
      <c r="G643" s="170"/>
      <c r="H643" s="186"/>
      <c r="I643" s="187" t="s">
        <v>1020</v>
      </c>
      <c r="J643" s="228"/>
      <c r="K643" s="245" t="s">
        <v>1553</v>
      </c>
      <c r="L643" s="228"/>
      <c r="M643" s="228"/>
      <c r="N643" s="228"/>
      <c r="O643" s="244" t="s">
        <v>1256</v>
      </c>
      <c r="P643" s="170"/>
      <c r="Q643" s="170"/>
      <c r="R643" s="170"/>
      <c r="S643" s="170"/>
    </row>
    <row r="644" spans="1:19" ht="15.75" thickBot="1">
      <c r="A644" s="176"/>
      <c r="B644" s="166"/>
      <c r="C644" s="166"/>
      <c r="D644" s="175" t="s">
        <v>1256</v>
      </c>
      <c r="G644" s="170"/>
      <c r="H644" s="186"/>
      <c r="I644" s="203" t="s">
        <v>1047</v>
      </c>
      <c r="J644" s="170"/>
      <c r="K644" s="185" t="s">
        <v>1252</v>
      </c>
      <c r="L644" s="170"/>
      <c r="M644" s="170"/>
      <c r="N644" s="170"/>
      <c r="O644" s="222" t="s">
        <v>1256</v>
      </c>
      <c r="P644" s="170"/>
      <c r="Q644" s="170"/>
      <c r="R644" s="170"/>
      <c r="S644" s="170"/>
    </row>
    <row r="645" spans="1:19" ht="16.5" thickTop="1" thickBot="1">
      <c r="A645" s="176">
        <v>76</v>
      </c>
      <c r="B645" s="166" t="s">
        <v>1554</v>
      </c>
      <c r="C645" s="166" t="s">
        <v>1555</v>
      </c>
      <c r="D645" s="175" t="s">
        <v>713</v>
      </c>
      <c r="G645" s="170"/>
      <c r="H645" s="253">
        <v>76</v>
      </c>
      <c r="I645" s="209"/>
      <c r="J645" s="258"/>
      <c r="K645" s="259" t="s">
        <v>1555</v>
      </c>
      <c r="L645" s="258"/>
      <c r="M645" s="258"/>
      <c r="N645" s="258"/>
      <c r="O645" s="211" t="s">
        <v>713</v>
      </c>
      <c r="P645" s="170"/>
      <c r="Q645" s="184">
        <f t="shared" ref="Q645:Q646" si="63">H645</f>
        <v>76</v>
      </c>
      <c r="R645" s="175" t="str">
        <f t="shared" ref="R645:R646" si="64">CONCATENATE("II-",TEXT(Q645,"0000"))</f>
        <v>II-0076</v>
      </c>
      <c r="S645" s="185" t="str">
        <f t="shared" ref="S645:S646" si="65">K645</f>
        <v>SELLADO DE FISURA</v>
      </c>
    </row>
    <row r="646" spans="1:19" ht="15.75" thickTop="1">
      <c r="A646" s="176">
        <v>77</v>
      </c>
      <c r="B646" s="166" t="s">
        <v>1556</v>
      </c>
      <c r="C646" s="166" t="s">
        <v>1557</v>
      </c>
      <c r="D646" s="175"/>
      <c r="G646" s="170"/>
      <c r="H646" s="253">
        <v>77</v>
      </c>
      <c r="I646" s="209"/>
      <c r="J646" s="258"/>
      <c r="K646" s="259" t="s">
        <v>1557</v>
      </c>
      <c r="L646" s="258"/>
      <c r="M646" s="258"/>
      <c r="N646" s="258"/>
      <c r="O646" s="211"/>
      <c r="P646" s="170"/>
      <c r="Q646" s="184">
        <f t="shared" si="63"/>
        <v>77</v>
      </c>
      <c r="R646" s="175" t="str">
        <f t="shared" si="64"/>
        <v>II-0077</v>
      </c>
      <c r="S646" s="185" t="str">
        <f t="shared" si="65"/>
        <v>SIFON</v>
      </c>
    </row>
    <row r="647" spans="1:19" ht="15.75" thickBot="1">
      <c r="A647" s="176"/>
      <c r="B647" s="166"/>
      <c r="C647" s="166"/>
      <c r="D647" s="175" t="s">
        <v>4</v>
      </c>
      <c r="G647" s="170"/>
      <c r="H647" s="186"/>
      <c r="I647" s="213" t="s">
        <v>1020</v>
      </c>
      <c r="J647" s="170"/>
      <c r="K647" s="185" t="s">
        <v>1558</v>
      </c>
      <c r="L647" s="170"/>
      <c r="M647" s="170"/>
      <c r="N647" s="170"/>
      <c r="O647" s="222" t="s">
        <v>4</v>
      </c>
      <c r="P647" s="170"/>
      <c r="Q647" s="170"/>
      <c r="R647" s="170"/>
      <c r="S647" s="170"/>
    </row>
    <row r="648" spans="1:19" ht="15.75" thickTop="1">
      <c r="A648" s="176">
        <v>78</v>
      </c>
      <c r="B648" s="166" t="s">
        <v>1559</v>
      </c>
      <c r="C648" s="166" t="s">
        <v>1560</v>
      </c>
      <c r="D648" s="175"/>
      <c r="G648" s="170"/>
      <c r="H648" s="253">
        <v>78</v>
      </c>
      <c r="I648" s="209"/>
      <c r="J648" s="258"/>
      <c r="K648" s="259" t="s">
        <v>1560</v>
      </c>
      <c r="L648" s="258"/>
      <c r="M648" s="258"/>
      <c r="N648" s="258"/>
      <c r="O648" s="211"/>
      <c r="P648" s="170"/>
      <c r="Q648" s="184">
        <f>H648</f>
        <v>78</v>
      </c>
      <c r="R648" s="175" t="str">
        <f>CONCATENATE("II-",TEXT(Q648,"0000"))</f>
        <v>II-0078</v>
      </c>
      <c r="S648" s="185" t="str">
        <f>K648</f>
        <v>SUB BASE</v>
      </c>
    </row>
    <row r="649" spans="1:19">
      <c r="A649" s="176"/>
      <c r="B649" s="166"/>
      <c r="C649" s="166"/>
      <c r="D649" s="175" t="s">
        <v>1131</v>
      </c>
      <c r="G649" s="170"/>
      <c r="H649" s="186"/>
      <c r="I649" s="289" t="s">
        <v>1020</v>
      </c>
      <c r="J649" s="170"/>
      <c r="K649" s="185" t="s">
        <v>1279</v>
      </c>
      <c r="L649" s="170"/>
      <c r="M649" s="170"/>
      <c r="N649" s="170"/>
      <c r="O649" s="222" t="s">
        <v>1131</v>
      </c>
      <c r="P649" s="170"/>
      <c r="Q649" s="170"/>
      <c r="R649" s="170"/>
      <c r="S649" s="170"/>
    </row>
    <row r="650" spans="1:19">
      <c r="A650" s="176"/>
      <c r="B650" s="166"/>
      <c r="C650" s="166"/>
      <c r="D650" s="175" t="s">
        <v>1131</v>
      </c>
      <c r="G650" s="170"/>
      <c r="H650" s="186"/>
      <c r="I650" s="187" t="s">
        <v>1047</v>
      </c>
      <c r="J650" s="290"/>
      <c r="K650" s="245" t="s">
        <v>1389</v>
      </c>
      <c r="L650" s="245"/>
      <c r="M650" s="228"/>
      <c r="N650" s="228"/>
      <c r="O650" s="244" t="s">
        <v>1131</v>
      </c>
      <c r="P650" s="170"/>
      <c r="Q650" s="170"/>
      <c r="R650" s="170"/>
      <c r="S650" s="170"/>
    </row>
    <row r="651" spans="1:19">
      <c r="A651" s="176"/>
      <c r="B651" s="166"/>
      <c r="C651" s="166"/>
      <c r="D651" s="175"/>
      <c r="G651" s="170"/>
      <c r="H651" s="186"/>
      <c r="I651" s="195" t="s">
        <v>1057</v>
      </c>
      <c r="J651" s="175"/>
      <c r="K651" s="185" t="s">
        <v>1276</v>
      </c>
      <c r="L651" s="185"/>
      <c r="M651" s="170"/>
      <c r="N651" s="170"/>
      <c r="O651" s="222"/>
      <c r="P651" s="170"/>
      <c r="Q651" s="170"/>
      <c r="R651" s="170"/>
      <c r="S651" s="170"/>
    </row>
    <row r="652" spans="1:19">
      <c r="A652" s="176"/>
      <c r="B652" s="166"/>
      <c r="C652" s="166"/>
      <c r="D652" s="175" t="s">
        <v>1131</v>
      </c>
      <c r="G652" s="170"/>
      <c r="H652" s="186"/>
      <c r="I652" s="175"/>
      <c r="J652" s="192">
        <v>1</v>
      </c>
      <c r="K652" s="185"/>
      <c r="L652" s="185" t="s">
        <v>1561</v>
      </c>
      <c r="M652" s="170"/>
      <c r="N652" s="170"/>
      <c r="O652" s="222" t="s">
        <v>1131</v>
      </c>
      <c r="P652" s="170"/>
      <c r="Q652" s="170"/>
      <c r="R652" s="170"/>
      <c r="S652" s="170"/>
    </row>
    <row r="653" spans="1:19">
      <c r="A653" s="176"/>
      <c r="B653" s="166"/>
      <c r="C653" s="166"/>
      <c r="D653" s="175" t="s">
        <v>1131</v>
      </c>
      <c r="G653" s="170"/>
      <c r="H653" s="186"/>
      <c r="I653" s="175"/>
      <c r="J653" s="192">
        <v>2</v>
      </c>
      <c r="K653" s="185"/>
      <c r="L653" s="185" t="s">
        <v>1562</v>
      </c>
      <c r="M653" s="170"/>
      <c r="N653" s="170"/>
      <c r="O653" s="222" t="s">
        <v>1131</v>
      </c>
      <c r="P653" s="170"/>
      <c r="Q653" s="170"/>
      <c r="R653" s="170"/>
      <c r="S653" s="170"/>
    </row>
    <row r="654" spans="1:19">
      <c r="A654" s="176"/>
      <c r="B654" s="166"/>
      <c r="C654" s="166"/>
      <c r="D654" s="175" t="s">
        <v>1131</v>
      </c>
      <c r="G654" s="170"/>
      <c r="H654" s="186"/>
      <c r="I654" s="175"/>
      <c r="J654" s="195">
        <v>3</v>
      </c>
      <c r="K654" s="170"/>
      <c r="L654" s="185" t="s">
        <v>1276</v>
      </c>
      <c r="M654" s="170"/>
      <c r="N654" s="170"/>
      <c r="O654" s="222" t="s">
        <v>1131</v>
      </c>
      <c r="P654" s="170"/>
      <c r="Q654" s="170"/>
      <c r="R654" s="170"/>
      <c r="S654" s="170"/>
    </row>
    <row r="655" spans="1:19">
      <c r="A655" s="176"/>
      <c r="B655" s="166"/>
      <c r="C655" s="166"/>
      <c r="D655" s="175" t="s">
        <v>1131</v>
      </c>
      <c r="G655" s="170"/>
      <c r="H655" s="186"/>
      <c r="I655" s="187" t="s">
        <v>1083</v>
      </c>
      <c r="J655" s="290"/>
      <c r="K655" s="245" t="s">
        <v>1215</v>
      </c>
      <c r="L655" s="245"/>
      <c r="M655" s="228"/>
      <c r="N655" s="228"/>
      <c r="O655" s="244" t="s">
        <v>1131</v>
      </c>
      <c r="P655" s="170"/>
      <c r="Q655" s="170"/>
      <c r="R655" s="170"/>
      <c r="S655" s="170"/>
    </row>
    <row r="656" spans="1:19">
      <c r="A656" s="176"/>
      <c r="B656" s="166"/>
      <c r="C656" s="166"/>
      <c r="D656" s="175" t="s">
        <v>1131</v>
      </c>
      <c r="G656" s="170"/>
      <c r="H656" s="186"/>
      <c r="I656" s="192" t="s">
        <v>1125</v>
      </c>
      <c r="J656" s="175"/>
      <c r="K656" s="185" t="s">
        <v>1218</v>
      </c>
      <c r="L656" s="185"/>
      <c r="M656" s="170"/>
      <c r="N656" s="170"/>
      <c r="O656" s="222" t="s">
        <v>1131</v>
      </c>
      <c r="P656" s="170"/>
      <c r="Q656" s="170"/>
      <c r="R656" s="170"/>
      <c r="S656" s="170"/>
    </row>
    <row r="657" spans="1:19">
      <c r="A657" s="176"/>
      <c r="B657" s="166"/>
      <c r="C657" s="166"/>
      <c r="D657" s="175" t="s">
        <v>1131</v>
      </c>
      <c r="G657" s="170"/>
      <c r="H657" s="186"/>
      <c r="I657" s="187" t="s">
        <v>1128</v>
      </c>
      <c r="J657" s="290"/>
      <c r="K657" s="245" t="s">
        <v>1280</v>
      </c>
      <c r="L657" s="245"/>
      <c r="M657" s="228"/>
      <c r="N657" s="228"/>
      <c r="O657" s="244" t="s">
        <v>1131</v>
      </c>
      <c r="P657" s="170"/>
      <c r="Q657" s="170"/>
      <c r="R657" s="170"/>
      <c r="S657" s="170"/>
    </row>
    <row r="658" spans="1:19" ht="15.75" thickBot="1">
      <c r="A658" s="176"/>
      <c r="B658" s="166"/>
      <c r="C658" s="166"/>
      <c r="D658" s="175" t="s">
        <v>1131</v>
      </c>
      <c r="G658" s="170"/>
      <c r="H658" s="201"/>
      <c r="I658" s="203" t="s">
        <v>1132</v>
      </c>
      <c r="J658" s="202"/>
      <c r="K658" s="205" t="s">
        <v>1221</v>
      </c>
      <c r="L658" s="205"/>
      <c r="M658" s="204"/>
      <c r="N658" s="204"/>
      <c r="O658" s="266" t="s">
        <v>1131</v>
      </c>
      <c r="P658" s="170"/>
      <c r="Q658" s="170"/>
      <c r="R658" s="170"/>
      <c r="S658" s="170"/>
    </row>
    <row r="659" spans="1:19" ht="15.75" thickTop="1">
      <c r="A659" s="176">
        <v>79</v>
      </c>
      <c r="B659" s="166" t="s">
        <v>1563</v>
      </c>
      <c r="C659" s="166" t="s">
        <v>1386</v>
      </c>
      <c r="D659" s="175"/>
      <c r="G659" s="170"/>
      <c r="H659" s="208">
        <v>79</v>
      </c>
      <c r="I659" s="210"/>
      <c r="J659" s="220"/>
      <c r="K659" s="256" t="s">
        <v>1386</v>
      </c>
      <c r="L659" s="220"/>
      <c r="M659" s="220"/>
      <c r="N659" s="220"/>
      <c r="O659" s="230"/>
      <c r="P659" s="170"/>
      <c r="Q659" s="184">
        <f>H659</f>
        <v>79</v>
      </c>
      <c r="R659" s="175" t="str">
        <f>CONCATENATE("II-",TEXT(Q659,"0000"))</f>
        <v>II-0079</v>
      </c>
      <c r="S659" s="185" t="str">
        <f>K659</f>
        <v>SUELO</v>
      </c>
    </row>
    <row r="660" spans="1:19">
      <c r="A660" s="176"/>
      <c r="B660" s="166"/>
      <c r="C660" s="166"/>
      <c r="D660" s="175" t="s">
        <v>1131</v>
      </c>
      <c r="G660" s="170"/>
      <c r="H660" s="186"/>
      <c r="I660" s="289" t="s">
        <v>1020</v>
      </c>
      <c r="J660" s="170"/>
      <c r="K660" s="245" t="s">
        <v>1564</v>
      </c>
      <c r="L660" s="185"/>
      <c r="M660" s="185"/>
      <c r="N660" s="170"/>
      <c r="O660" s="222" t="s">
        <v>1131</v>
      </c>
      <c r="P660" s="170"/>
      <c r="Q660" s="170"/>
      <c r="R660" s="170"/>
      <c r="S660" s="170"/>
    </row>
    <row r="661" spans="1:19">
      <c r="A661" s="176"/>
      <c r="B661" s="166"/>
      <c r="C661" s="166"/>
      <c r="D661" s="175" t="s">
        <v>1131</v>
      </c>
      <c r="G661" s="170"/>
      <c r="H661" s="186"/>
      <c r="I661" s="187" t="s">
        <v>1047</v>
      </c>
      <c r="J661" s="228"/>
      <c r="K661" s="185" t="s">
        <v>1565</v>
      </c>
      <c r="L661" s="245"/>
      <c r="M661" s="245"/>
      <c r="N661" s="228"/>
      <c r="O661" s="244" t="s">
        <v>1131</v>
      </c>
      <c r="P661" s="170"/>
      <c r="Q661" s="170"/>
      <c r="R661" s="170"/>
      <c r="S661" s="170"/>
    </row>
    <row r="662" spans="1:19" ht="15.75" thickBot="1">
      <c r="A662" s="176"/>
      <c r="B662" s="166"/>
      <c r="C662" s="166"/>
      <c r="D662" s="175" t="s">
        <v>1131</v>
      </c>
      <c r="G662" s="170"/>
      <c r="H662" s="186"/>
      <c r="I662" s="203" t="s">
        <v>1057</v>
      </c>
      <c r="J662" s="170"/>
      <c r="K662" s="247" t="s">
        <v>1566</v>
      </c>
      <c r="L662" s="185"/>
      <c r="M662" s="185"/>
      <c r="N662" s="170"/>
      <c r="O662" s="222" t="s">
        <v>1131</v>
      </c>
      <c r="P662" s="170"/>
      <c r="Q662" s="170"/>
      <c r="R662" s="170"/>
      <c r="S662" s="170"/>
    </row>
    <row r="663" spans="1:19" ht="15.75" thickTop="1">
      <c r="A663" s="176">
        <v>80</v>
      </c>
      <c r="B663" s="166" t="s">
        <v>1567</v>
      </c>
      <c r="C663" s="166" t="s">
        <v>1568</v>
      </c>
      <c r="D663" s="175"/>
      <c r="G663" s="170"/>
      <c r="H663" s="253">
        <v>80</v>
      </c>
      <c r="I663" s="209"/>
      <c r="J663" s="258"/>
      <c r="K663" s="265" t="s">
        <v>1568</v>
      </c>
      <c r="L663" s="258"/>
      <c r="M663" s="258"/>
      <c r="N663" s="258"/>
      <c r="O663" s="211"/>
      <c r="P663" s="170"/>
      <c r="Q663" s="184">
        <f>H663</f>
        <v>80</v>
      </c>
      <c r="R663" s="175" t="str">
        <f>CONCATENATE("II-",TEXT(Q663,"0000"))</f>
        <v>II-0080</v>
      </c>
      <c r="S663" s="185" t="str">
        <f>K663</f>
        <v>SUMIDEROS</v>
      </c>
    </row>
    <row r="664" spans="1:19">
      <c r="A664" s="176"/>
      <c r="B664" s="166"/>
      <c r="C664" s="166"/>
      <c r="D664" s="175" t="s">
        <v>4</v>
      </c>
      <c r="G664" s="170"/>
      <c r="H664" s="186"/>
      <c r="I664" s="192" t="s">
        <v>1020</v>
      </c>
      <c r="J664" s="170"/>
      <c r="K664" s="185" t="s">
        <v>1569</v>
      </c>
      <c r="L664" s="185"/>
      <c r="M664" s="185"/>
      <c r="N664" s="170"/>
      <c r="O664" s="222" t="s">
        <v>4</v>
      </c>
      <c r="P664" s="170"/>
      <c r="Q664" s="170"/>
      <c r="R664" s="170"/>
      <c r="S664" s="170"/>
    </row>
    <row r="665" spans="1:19">
      <c r="A665" s="176"/>
      <c r="B665" s="166"/>
      <c r="C665" s="166"/>
      <c r="D665" s="175" t="s">
        <v>4</v>
      </c>
      <c r="G665" s="170"/>
      <c r="H665" s="186"/>
      <c r="I665" s="187" t="s">
        <v>1047</v>
      </c>
      <c r="J665" s="228"/>
      <c r="K665" s="245" t="s">
        <v>1570</v>
      </c>
      <c r="L665" s="245"/>
      <c r="M665" s="245"/>
      <c r="N665" s="228"/>
      <c r="O665" s="244" t="s">
        <v>4</v>
      </c>
      <c r="P665" s="170"/>
      <c r="Q665" s="170"/>
      <c r="R665" s="170"/>
      <c r="S665" s="170"/>
    </row>
    <row r="666" spans="1:19">
      <c r="A666" s="176"/>
      <c r="B666" s="166"/>
      <c r="C666" s="166"/>
      <c r="D666" s="175" t="s">
        <v>4</v>
      </c>
      <c r="G666" s="170"/>
      <c r="H666" s="186"/>
      <c r="I666" s="187" t="s">
        <v>1057</v>
      </c>
      <c r="J666" s="228"/>
      <c r="K666" s="245" t="s">
        <v>1571</v>
      </c>
      <c r="L666" s="245"/>
      <c r="M666" s="245"/>
      <c r="N666" s="228"/>
      <c r="O666" s="244" t="s">
        <v>4</v>
      </c>
      <c r="P666" s="170"/>
      <c r="Q666" s="170"/>
      <c r="R666" s="170"/>
      <c r="S666" s="170"/>
    </row>
    <row r="667" spans="1:19" ht="15.75" thickBot="1">
      <c r="A667" s="176"/>
      <c r="B667" s="166"/>
      <c r="C667" s="166"/>
      <c r="D667" s="175" t="s">
        <v>4</v>
      </c>
      <c r="G667" s="170"/>
      <c r="H667" s="232"/>
      <c r="I667" s="234" t="s">
        <v>1083</v>
      </c>
      <c r="J667" s="235"/>
      <c r="K667" s="236" t="s">
        <v>1572</v>
      </c>
      <c r="L667" s="236"/>
      <c r="M667" s="236"/>
      <c r="N667" s="235"/>
      <c r="O667" s="268" t="s">
        <v>4</v>
      </c>
      <c r="P667" s="170"/>
      <c r="Q667" s="170"/>
      <c r="R667" s="170"/>
      <c r="S667" s="170"/>
    </row>
    <row r="668" spans="1:19">
      <c r="A668" s="176"/>
      <c r="B668" s="166"/>
      <c r="C668" s="166"/>
      <c r="D668" s="175"/>
      <c r="G668" s="170"/>
      <c r="H668" s="238"/>
      <c r="I668" s="175"/>
      <c r="J668" s="170"/>
      <c r="K668" s="185"/>
      <c r="L668" s="185"/>
      <c r="M668" s="185"/>
      <c r="N668" s="170"/>
      <c r="O668" s="173"/>
      <c r="P668" s="170"/>
      <c r="Q668" s="170"/>
      <c r="R668" s="170"/>
      <c r="S668" s="170"/>
    </row>
    <row r="669" spans="1:19">
      <c r="A669" s="176"/>
      <c r="B669" s="166"/>
      <c r="C669" s="166"/>
      <c r="D669" s="175"/>
      <c r="G669" s="170"/>
      <c r="H669" s="238"/>
      <c r="I669" s="175"/>
      <c r="J669" s="170"/>
      <c r="K669" s="185"/>
      <c r="L669" s="185"/>
      <c r="M669" s="185"/>
      <c r="N669" s="170"/>
      <c r="O669" s="173"/>
      <c r="P669" s="170"/>
      <c r="Q669" s="170"/>
      <c r="R669" s="170"/>
      <c r="S669" s="170"/>
    </row>
    <row r="670" spans="1:19">
      <c r="A670" s="176"/>
      <c r="B670" s="166"/>
      <c r="C670" s="166"/>
      <c r="D670" s="175"/>
      <c r="G670" s="170"/>
      <c r="H670" s="238"/>
      <c r="I670" s="175"/>
      <c r="J670" s="170"/>
      <c r="K670" s="185"/>
      <c r="L670" s="185"/>
      <c r="M670" s="185"/>
      <c r="N670" s="170"/>
      <c r="O670" s="173"/>
      <c r="P670" s="170"/>
      <c r="Q670" s="170"/>
      <c r="R670" s="170"/>
      <c r="S670" s="170"/>
    </row>
    <row r="671" spans="1:19">
      <c r="A671" s="176">
        <v>81</v>
      </c>
      <c r="B671" s="166" t="s">
        <v>1573</v>
      </c>
      <c r="C671" s="166" t="s">
        <v>1574</v>
      </c>
      <c r="D671" s="175"/>
      <c r="G671" s="307"/>
      <c r="H671" s="208">
        <v>81</v>
      </c>
      <c r="I671" s="210"/>
      <c r="J671" s="220"/>
      <c r="K671" s="265" t="s">
        <v>1574</v>
      </c>
      <c r="L671" s="220"/>
      <c r="M671" s="220"/>
      <c r="N671" s="220"/>
      <c r="O671" s="230"/>
      <c r="P671" s="170"/>
      <c r="Q671" s="184">
        <f>H671</f>
        <v>81</v>
      </c>
      <c r="R671" s="175" t="str">
        <f>CONCATENATE("II-",TEXT(Q671,"0000"))</f>
        <v>II-0081</v>
      </c>
      <c r="S671" s="185" t="str">
        <f>K671</f>
        <v>TERRAPLEN</v>
      </c>
    </row>
    <row r="672" spans="1:19">
      <c r="A672" s="176"/>
      <c r="B672" s="166"/>
      <c r="C672" s="166"/>
      <c r="D672" s="175"/>
      <c r="G672" s="170"/>
      <c r="H672" s="186"/>
      <c r="I672" s="187" t="s">
        <v>1020</v>
      </c>
      <c r="J672" s="170"/>
      <c r="K672" s="185" t="s">
        <v>1575</v>
      </c>
      <c r="L672" s="170"/>
      <c r="M672" s="170"/>
      <c r="N672" s="170"/>
      <c r="O672" s="222"/>
      <c r="P672" s="170"/>
      <c r="Q672" s="170"/>
      <c r="R672" s="170"/>
      <c r="S672" s="170"/>
    </row>
    <row r="673" spans="1:19">
      <c r="A673" s="176"/>
      <c r="B673" s="166"/>
      <c r="C673" s="166"/>
      <c r="D673" s="175" t="s">
        <v>1131</v>
      </c>
      <c r="G673" s="170"/>
      <c r="H673" s="186"/>
      <c r="I673" s="175"/>
      <c r="J673" s="192">
        <v>1</v>
      </c>
      <c r="K673" s="170"/>
      <c r="L673" s="185" t="s">
        <v>1576</v>
      </c>
      <c r="M673" s="170"/>
      <c r="N673" s="170"/>
      <c r="O673" s="222" t="s">
        <v>1131</v>
      </c>
      <c r="P673" s="170"/>
      <c r="Q673" s="170"/>
      <c r="R673" s="170"/>
      <c r="S673" s="170"/>
    </row>
    <row r="674" spans="1:19">
      <c r="A674" s="176"/>
      <c r="B674" s="166"/>
      <c r="C674" s="166"/>
      <c r="D674" s="175" t="s">
        <v>1131</v>
      </c>
      <c r="G674" s="170"/>
      <c r="H674" s="186"/>
      <c r="I674" s="200"/>
      <c r="J674" s="195">
        <v>2</v>
      </c>
      <c r="K674" s="196"/>
      <c r="L674" s="197" t="s">
        <v>1577</v>
      </c>
      <c r="M674" s="196"/>
      <c r="N674" s="196"/>
      <c r="O674" s="240" t="s">
        <v>1131</v>
      </c>
      <c r="P674" s="170"/>
      <c r="Q674" s="170"/>
      <c r="R674" s="170"/>
      <c r="S674" s="170"/>
    </row>
    <row r="675" spans="1:19">
      <c r="A675" s="176"/>
      <c r="B675" s="166"/>
      <c r="C675" s="166"/>
      <c r="D675" s="175"/>
      <c r="G675" s="170"/>
      <c r="H675" s="186"/>
      <c r="I675" s="187" t="s">
        <v>1047</v>
      </c>
      <c r="J675" s="170"/>
      <c r="K675" s="185" t="s">
        <v>1578</v>
      </c>
      <c r="L675" s="170"/>
      <c r="M675" s="170"/>
      <c r="N675" s="170"/>
      <c r="O675" s="222"/>
      <c r="P675" s="170"/>
      <c r="Q675" s="170"/>
      <c r="R675" s="170"/>
      <c r="S675" s="170"/>
    </row>
    <row r="676" spans="1:19">
      <c r="A676" s="176"/>
      <c r="B676" s="166"/>
      <c r="C676" s="166"/>
      <c r="D676" s="175" t="s">
        <v>1131</v>
      </c>
      <c r="G676" s="170"/>
      <c r="H676" s="186"/>
      <c r="I676" s="175"/>
      <c r="J676" s="192">
        <v>1</v>
      </c>
      <c r="K676" s="170"/>
      <c r="L676" s="185" t="s">
        <v>1579</v>
      </c>
      <c r="M676" s="170"/>
      <c r="N676" s="170"/>
      <c r="O676" s="222" t="s">
        <v>1131</v>
      </c>
      <c r="P676" s="170"/>
      <c r="Q676" s="170"/>
      <c r="R676" s="170"/>
      <c r="S676" s="170"/>
    </row>
    <row r="677" spans="1:19" ht="15.75" thickBot="1">
      <c r="A677" s="176"/>
      <c r="B677" s="166"/>
      <c r="C677" s="166"/>
      <c r="D677" s="175" t="s">
        <v>1131</v>
      </c>
      <c r="G677" s="170"/>
      <c r="H677" s="186"/>
      <c r="I677" s="175"/>
      <c r="J677" s="203">
        <v>2</v>
      </c>
      <c r="K677" s="170"/>
      <c r="L677" s="185" t="s">
        <v>1577</v>
      </c>
      <c r="M677" s="170"/>
      <c r="N677" s="170"/>
      <c r="O677" s="222" t="s">
        <v>1131</v>
      </c>
      <c r="P677" s="170"/>
      <c r="Q677" s="170"/>
      <c r="R677" s="170"/>
      <c r="S677" s="170"/>
    </row>
    <row r="678" spans="1:19" ht="16.5" thickTop="1" thickBot="1">
      <c r="A678" s="176">
        <v>82</v>
      </c>
      <c r="B678" s="166" t="s">
        <v>1580</v>
      </c>
      <c r="C678" s="166" t="s">
        <v>1581</v>
      </c>
      <c r="D678" s="175" t="s">
        <v>1214</v>
      </c>
      <c r="G678" s="170"/>
      <c r="H678" s="279">
        <v>82</v>
      </c>
      <c r="I678" s="280"/>
      <c r="J678" s="281"/>
      <c r="K678" s="282" t="s">
        <v>1581</v>
      </c>
      <c r="L678" s="281"/>
      <c r="M678" s="281"/>
      <c r="N678" s="281"/>
      <c r="O678" s="283" t="s">
        <v>1214</v>
      </c>
      <c r="P678" s="170"/>
      <c r="Q678" s="184">
        <f t="shared" ref="Q678:Q679" si="66">H678</f>
        <v>82</v>
      </c>
      <c r="R678" s="175" t="str">
        <f t="shared" ref="R678:R679" si="67">CONCATENATE("II-",TEXT(Q678,"0000"))</f>
        <v>II-0082</v>
      </c>
      <c r="S678" s="185" t="str">
        <f t="shared" ref="S678:S679" si="68">K678</f>
        <v>TEXTURIZADO (SUPERFICIE DE RODAMIENTO)</v>
      </c>
    </row>
    <row r="679" spans="1:19" ht="15.75" thickTop="1">
      <c r="A679" s="176">
        <v>83</v>
      </c>
      <c r="B679" s="166" t="s">
        <v>1582</v>
      </c>
      <c r="C679" s="166" t="s">
        <v>1583</v>
      </c>
      <c r="D679" s="175"/>
      <c r="G679" s="170"/>
      <c r="H679" s="208">
        <v>83</v>
      </c>
      <c r="I679" s="210"/>
      <c r="J679" s="210"/>
      <c r="K679" s="219" t="s">
        <v>1583</v>
      </c>
      <c r="L679" s="220"/>
      <c r="M679" s="220"/>
      <c r="N679" s="220"/>
      <c r="O679" s="230"/>
      <c r="P679" s="170"/>
      <c r="Q679" s="184">
        <f t="shared" si="66"/>
        <v>83</v>
      </c>
      <c r="R679" s="175" t="str">
        <f t="shared" si="67"/>
        <v>II-0083</v>
      </c>
      <c r="S679" s="185" t="str">
        <f t="shared" si="68"/>
        <v>TRABAJOS NO ESPECIFICADOS O DE EMERGENCIA</v>
      </c>
    </row>
    <row r="680" spans="1:19">
      <c r="A680" s="176"/>
      <c r="B680" s="166"/>
      <c r="C680" s="166"/>
      <c r="D680" s="175" t="s">
        <v>907</v>
      </c>
      <c r="G680" s="170"/>
      <c r="H680" s="186"/>
      <c r="I680" s="289" t="s">
        <v>1020</v>
      </c>
      <c r="J680" s="175"/>
      <c r="K680" s="218" t="s">
        <v>1584</v>
      </c>
      <c r="L680" s="170"/>
      <c r="M680" s="170"/>
      <c r="N680" s="170"/>
      <c r="O680" s="222" t="s">
        <v>907</v>
      </c>
      <c r="P680" s="170"/>
      <c r="Q680" s="170"/>
      <c r="R680" s="170"/>
      <c r="S680" s="170"/>
    </row>
    <row r="681" spans="1:19">
      <c r="A681" s="176"/>
      <c r="B681" s="166"/>
      <c r="C681" s="166"/>
      <c r="D681" s="175" t="s">
        <v>907</v>
      </c>
      <c r="G681" s="170"/>
      <c r="H681" s="186"/>
      <c r="I681" s="187" t="s">
        <v>1047</v>
      </c>
      <c r="J681" s="290"/>
      <c r="K681" s="245" t="s">
        <v>1585</v>
      </c>
      <c r="L681" s="245"/>
      <c r="M681" s="228"/>
      <c r="N681" s="228"/>
      <c r="O681" s="244" t="s">
        <v>907</v>
      </c>
      <c r="P681" s="170"/>
      <c r="Q681" s="170"/>
      <c r="R681" s="170"/>
      <c r="S681" s="170"/>
    </row>
    <row r="682" spans="1:19">
      <c r="A682" s="176"/>
      <c r="B682" s="166"/>
      <c r="C682" s="166"/>
      <c r="D682" s="175" t="s">
        <v>907</v>
      </c>
      <c r="G682" s="170"/>
      <c r="H682" s="186"/>
      <c r="I682" s="192" t="s">
        <v>1057</v>
      </c>
      <c r="J682" s="175"/>
      <c r="K682" s="218" t="s">
        <v>1586</v>
      </c>
      <c r="L682" s="185"/>
      <c r="M682" s="170"/>
      <c r="N682" s="170"/>
      <c r="O682" s="222" t="s">
        <v>907</v>
      </c>
      <c r="P682" s="170"/>
      <c r="Q682" s="170"/>
      <c r="R682" s="170"/>
      <c r="S682" s="170"/>
    </row>
    <row r="683" spans="1:19">
      <c r="A683" s="176"/>
      <c r="B683" s="166"/>
      <c r="C683" s="166"/>
      <c r="D683" s="175" t="s">
        <v>907</v>
      </c>
      <c r="G683" s="170"/>
      <c r="H683" s="186"/>
      <c r="I683" s="187" t="s">
        <v>1083</v>
      </c>
      <c r="J683" s="290"/>
      <c r="K683" s="227" t="s">
        <v>1587</v>
      </c>
      <c r="L683" s="245"/>
      <c r="M683" s="228"/>
      <c r="N683" s="228"/>
      <c r="O683" s="244" t="s">
        <v>907</v>
      </c>
      <c r="P683" s="170"/>
      <c r="Q683" s="170"/>
      <c r="R683" s="170"/>
      <c r="S683" s="170"/>
    </row>
    <row r="684" spans="1:19">
      <c r="A684" s="176"/>
      <c r="B684" s="166"/>
      <c r="C684" s="166"/>
      <c r="D684" s="175" t="s">
        <v>907</v>
      </c>
      <c r="G684" s="170"/>
      <c r="H684" s="186"/>
      <c r="I684" s="192" t="s">
        <v>1125</v>
      </c>
      <c r="J684" s="175"/>
      <c r="K684" s="218" t="s">
        <v>1588</v>
      </c>
      <c r="L684" s="185"/>
      <c r="M684" s="170"/>
      <c r="N684" s="170"/>
      <c r="O684" s="222" t="s">
        <v>907</v>
      </c>
      <c r="P684" s="170"/>
      <c r="Q684" s="170"/>
      <c r="R684" s="170"/>
      <c r="S684" s="170"/>
    </row>
    <row r="685" spans="1:19" ht="15.75" thickBot="1">
      <c r="A685" s="176"/>
      <c r="B685" s="166"/>
      <c r="C685" s="166"/>
      <c r="D685" s="175" t="s">
        <v>907</v>
      </c>
      <c r="G685" s="170"/>
      <c r="H685" s="201"/>
      <c r="I685" s="213" t="s">
        <v>1128</v>
      </c>
      <c r="J685" s="214"/>
      <c r="K685" s="215" t="s">
        <v>1589</v>
      </c>
      <c r="L685" s="247"/>
      <c r="M685" s="216"/>
      <c r="N685" s="216"/>
      <c r="O685" s="248" t="s">
        <v>907</v>
      </c>
      <c r="P685" s="170"/>
      <c r="Q685" s="170"/>
      <c r="R685" s="170"/>
      <c r="S685" s="170"/>
    </row>
    <row r="686" spans="1:19" ht="15.75" thickTop="1">
      <c r="A686" s="176">
        <v>84</v>
      </c>
      <c r="B686" s="166" t="s">
        <v>1590</v>
      </c>
      <c r="C686" s="166" t="s">
        <v>1591</v>
      </c>
      <c r="D686" s="175"/>
      <c r="G686" s="170"/>
      <c r="H686" s="208">
        <v>84</v>
      </c>
      <c r="I686" s="210"/>
      <c r="J686" s="220"/>
      <c r="K686" s="265" t="s">
        <v>1591</v>
      </c>
      <c r="L686" s="220"/>
      <c r="M686" s="220"/>
      <c r="N686" s="220"/>
      <c r="O686" s="230"/>
      <c r="P686" s="170"/>
      <c r="Q686" s="184">
        <f>H686</f>
        <v>84</v>
      </c>
      <c r="R686" s="175" t="str">
        <f>CONCATENATE("II-",TEXT(Q686,"0000"))</f>
        <v>II-0084</v>
      </c>
      <c r="S686" s="185" t="str">
        <f>K686</f>
        <v xml:space="preserve">TRANSPORTE </v>
      </c>
    </row>
    <row r="687" spans="1:19">
      <c r="A687" s="176"/>
      <c r="B687" s="166"/>
      <c r="C687" s="166"/>
      <c r="D687" s="175" t="s">
        <v>1592</v>
      </c>
      <c r="G687" s="170"/>
      <c r="H687" s="186"/>
      <c r="I687" s="187" t="s">
        <v>1020</v>
      </c>
      <c r="J687" s="290"/>
      <c r="K687" s="245" t="s">
        <v>1385</v>
      </c>
      <c r="L687" s="228"/>
      <c r="M687" s="228"/>
      <c r="N687" s="228"/>
      <c r="O687" s="244" t="s">
        <v>1592</v>
      </c>
      <c r="P687" s="170"/>
      <c r="Q687" s="170"/>
      <c r="R687" s="170"/>
      <c r="S687" s="170"/>
    </row>
    <row r="688" spans="1:19" ht="15.75" thickBot="1">
      <c r="A688" s="176"/>
      <c r="B688" s="166"/>
      <c r="C688" s="166"/>
      <c r="D688" s="175" t="s">
        <v>1593</v>
      </c>
      <c r="G688" s="170"/>
      <c r="H688" s="186"/>
      <c r="I688" s="203" t="s">
        <v>1047</v>
      </c>
      <c r="J688" s="175"/>
      <c r="K688" s="185" t="s">
        <v>1386</v>
      </c>
      <c r="L688" s="170"/>
      <c r="M688" s="170"/>
      <c r="N688" s="170"/>
      <c r="O688" s="222" t="s">
        <v>1593</v>
      </c>
      <c r="P688" s="170"/>
      <c r="Q688" s="170"/>
      <c r="R688" s="170"/>
      <c r="S688" s="170"/>
    </row>
    <row r="689" spans="1:19" ht="15.75" thickTop="1">
      <c r="A689" s="176">
        <v>85</v>
      </c>
      <c r="B689" s="166" t="s">
        <v>1594</v>
      </c>
      <c r="C689" s="166" t="s">
        <v>1595</v>
      </c>
      <c r="D689" s="175"/>
      <c r="G689" s="170"/>
      <c r="H689" s="253">
        <v>85</v>
      </c>
      <c r="I689" s="209"/>
      <c r="J689" s="258"/>
      <c r="K689" s="259" t="s">
        <v>1595</v>
      </c>
      <c r="L689" s="258"/>
      <c r="M689" s="258"/>
      <c r="N689" s="258"/>
      <c r="O689" s="211"/>
      <c r="P689" s="170"/>
      <c r="Q689" s="184">
        <f>H689</f>
        <v>85</v>
      </c>
      <c r="R689" s="175" t="str">
        <f>CONCATENATE("II-",TEXT(Q689,"0000"))</f>
        <v>II-0085</v>
      </c>
      <c r="S689" s="185" t="str">
        <f>K689</f>
        <v>TRANQUERA</v>
      </c>
    </row>
    <row r="690" spans="1:19">
      <c r="A690" s="176">
        <v>1</v>
      </c>
      <c r="B690" s="177" t="str">
        <f>CONCATENATE($B$689,".",TEXT(A690,"0000"))</f>
        <v>II-0085.0001</v>
      </c>
      <c r="C690" s="166" t="s">
        <v>1596</v>
      </c>
      <c r="D690" s="175" t="s">
        <v>1248</v>
      </c>
      <c r="G690" s="170"/>
      <c r="H690" s="186"/>
      <c r="I690" s="187" t="s">
        <v>1020</v>
      </c>
      <c r="J690" s="228"/>
      <c r="K690" s="245" t="s">
        <v>1597</v>
      </c>
      <c r="L690" s="245"/>
      <c r="M690" s="245"/>
      <c r="N690" s="245"/>
      <c r="O690" s="244" t="s">
        <v>1248</v>
      </c>
      <c r="P690" s="170"/>
      <c r="Q690" s="170"/>
      <c r="R690" s="170"/>
      <c r="S690" s="170"/>
    </row>
    <row r="691" spans="1:19" ht="15.75" thickBot="1">
      <c r="A691" s="176">
        <v>2</v>
      </c>
      <c r="B691" s="177" t="str">
        <f>CONCATENATE($B$689,".",TEXT(A691,"0000"))</f>
        <v>II-0085.0002</v>
      </c>
      <c r="C691" s="166" t="s">
        <v>1598</v>
      </c>
      <c r="D691" s="175" t="s">
        <v>1248</v>
      </c>
      <c r="G691" s="170"/>
      <c r="H691" s="201"/>
      <c r="I691" s="203" t="s">
        <v>1047</v>
      </c>
      <c r="J691" s="204"/>
      <c r="K691" s="205" t="s">
        <v>1599</v>
      </c>
      <c r="L691" s="205"/>
      <c r="M691" s="205"/>
      <c r="N691" s="205"/>
      <c r="O691" s="266" t="s">
        <v>1248</v>
      </c>
      <c r="P691" s="170"/>
      <c r="Q691" s="170"/>
      <c r="R691" s="170"/>
      <c r="S691" s="170"/>
    </row>
    <row r="692" spans="1:19" ht="15.75" thickTop="1">
      <c r="A692" s="176">
        <v>86</v>
      </c>
      <c r="B692" s="166" t="s">
        <v>1600</v>
      </c>
      <c r="C692" s="166" t="s">
        <v>1601</v>
      </c>
      <c r="D692" s="175"/>
      <c r="G692" s="170"/>
      <c r="H692" s="253">
        <v>86</v>
      </c>
      <c r="I692" s="209"/>
      <c r="J692" s="258"/>
      <c r="K692" s="259" t="s">
        <v>1601</v>
      </c>
      <c r="L692" s="258"/>
      <c r="M692" s="258"/>
      <c r="N692" s="258"/>
      <c r="O692" s="211"/>
      <c r="P692" s="170"/>
      <c r="Q692" s="184">
        <f>H692</f>
        <v>86</v>
      </c>
      <c r="R692" s="175" t="str">
        <f>CONCATENATE("II-",TEXT(Q692,"0000"))</f>
        <v>II-0086</v>
      </c>
      <c r="S692" s="185" t="str">
        <f>K692</f>
        <v>TRATAMIENTO BITUMINOSO</v>
      </c>
    </row>
    <row r="693" spans="1:19">
      <c r="A693" s="176"/>
      <c r="B693" s="166"/>
      <c r="C693" s="166"/>
      <c r="D693" s="175" t="s">
        <v>1214</v>
      </c>
      <c r="G693" s="170"/>
      <c r="H693" s="186"/>
      <c r="I693" s="187" t="s">
        <v>1020</v>
      </c>
      <c r="J693" s="228"/>
      <c r="K693" s="245" t="s">
        <v>1602</v>
      </c>
      <c r="L693" s="228"/>
      <c r="M693" s="228"/>
      <c r="N693" s="228"/>
      <c r="O693" s="244" t="s">
        <v>1214</v>
      </c>
      <c r="P693" s="170"/>
      <c r="Q693" s="170"/>
      <c r="R693" s="170"/>
      <c r="S693" s="170"/>
    </row>
    <row r="694" spans="1:19">
      <c r="A694" s="176"/>
      <c r="B694" s="166"/>
      <c r="C694" s="166"/>
      <c r="D694" s="175" t="s">
        <v>1214</v>
      </c>
      <c r="G694" s="170"/>
      <c r="H694" s="186"/>
      <c r="I694" s="192" t="s">
        <v>1047</v>
      </c>
      <c r="J694" s="170"/>
      <c r="K694" s="185" t="s">
        <v>1603</v>
      </c>
      <c r="L694" s="170"/>
      <c r="M694" s="170"/>
      <c r="N694" s="170"/>
      <c r="O694" s="222" t="s">
        <v>1214</v>
      </c>
      <c r="P694" s="170"/>
      <c r="Q694" s="170"/>
      <c r="R694" s="170"/>
      <c r="S694" s="170"/>
    </row>
    <row r="695" spans="1:19">
      <c r="A695" s="176"/>
      <c r="B695" s="166"/>
      <c r="C695" s="166"/>
      <c r="D695" s="175" t="s">
        <v>1214</v>
      </c>
      <c r="G695" s="170"/>
      <c r="H695" s="186"/>
      <c r="I695" s="187" t="s">
        <v>1057</v>
      </c>
      <c r="J695" s="228"/>
      <c r="K695" s="245" t="s">
        <v>1604</v>
      </c>
      <c r="L695" s="228"/>
      <c r="M695" s="228"/>
      <c r="N695" s="228"/>
      <c r="O695" s="244" t="s">
        <v>1214</v>
      </c>
      <c r="P695" s="170"/>
      <c r="Q695" s="170"/>
      <c r="R695" s="170"/>
      <c r="S695" s="170"/>
    </row>
    <row r="696" spans="1:19">
      <c r="A696" s="176"/>
      <c r="B696" s="166"/>
      <c r="C696" s="166"/>
      <c r="D696" s="175" t="s">
        <v>1214</v>
      </c>
      <c r="G696" s="170"/>
      <c r="H696" s="186"/>
      <c r="I696" s="192" t="s">
        <v>1083</v>
      </c>
      <c r="J696" s="170"/>
      <c r="K696" s="185" t="s">
        <v>1313</v>
      </c>
      <c r="L696" s="170"/>
      <c r="M696" s="170"/>
      <c r="N696" s="170"/>
      <c r="O696" s="222" t="s">
        <v>1214</v>
      </c>
      <c r="P696" s="170"/>
      <c r="Q696" s="170"/>
      <c r="R696" s="170"/>
      <c r="S696" s="170"/>
    </row>
    <row r="697" spans="1:19">
      <c r="A697" s="176"/>
      <c r="B697" s="166"/>
      <c r="C697" s="166"/>
      <c r="D697" s="175" t="s">
        <v>1214</v>
      </c>
      <c r="G697" s="170"/>
      <c r="H697" s="186"/>
      <c r="I697" s="187" t="s">
        <v>1125</v>
      </c>
      <c r="J697" s="228"/>
      <c r="K697" s="245" t="s">
        <v>1605</v>
      </c>
      <c r="L697" s="228"/>
      <c r="M697" s="228"/>
      <c r="N697" s="228"/>
      <c r="O697" s="244" t="s">
        <v>1214</v>
      </c>
      <c r="P697" s="170"/>
      <c r="Q697" s="170"/>
      <c r="R697" s="170"/>
      <c r="S697" s="170"/>
    </row>
    <row r="698" spans="1:19">
      <c r="A698" s="176"/>
      <c r="B698" s="166"/>
      <c r="C698" s="166"/>
      <c r="D698" s="175" t="s">
        <v>1214</v>
      </c>
      <c r="G698" s="170"/>
      <c r="H698" s="186"/>
      <c r="I698" s="187" t="s">
        <v>1128</v>
      </c>
      <c r="J698" s="228"/>
      <c r="K698" s="245" t="s">
        <v>1606</v>
      </c>
      <c r="L698" s="228"/>
      <c r="M698" s="228"/>
      <c r="N698" s="228"/>
      <c r="O698" s="244" t="s">
        <v>1214</v>
      </c>
      <c r="P698" s="170"/>
      <c r="Q698" s="170"/>
      <c r="R698" s="170"/>
      <c r="S698" s="170"/>
    </row>
    <row r="699" spans="1:19" ht="15.75" thickBot="1">
      <c r="A699" s="176"/>
      <c r="B699" s="166"/>
      <c r="C699" s="166"/>
      <c r="D699" s="175" t="s">
        <v>1214</v>
      </c>
      <c r="G699" s="170"/>
      <c r="H699" s="186"/>
      <c r="I699" s="203" t="s">
        <v>1132</v>
      </c>
      <c r="J699" s="170"/>
      <c r="K699" s="185" t="s">
        <v>1607</v>
      </c>
      <c r="L699" s="170"/>
      <c r="M699" s="170"/>
      <c r="N699" s="170"/>
      <c r="O699" s="222" t="s">
        <v>1214</v>
      </c>
      <c r="P699" s="170"/>
      <c r="Q699" s="170"/>
      <c r="R699" s="170"/>
      <c r="S699" s="170"/>
    </row>
    <row r="700" spans="1:19" ht="15.75" thickTop="1">
      <c r="A700" s="176">
        <v>87</v>
      </c>
      <c r="B700" s="166" t="s">
        <v>1608</v>
      </c>
      <c r="C700" s="166" t="s">
        <v>1609</v>
      </c>
      <c r="D700" s="175"/>
      <c r="G700" s="170"/>
      <c r="H700" s="253">
        <v>87</v>
      </c>
      <c r="I700" s="254"/>
      <c r="J700" s="255"/>
      <c r="K700" s="297" t="s">
        <v>1609</v>
      </c>
      <c r="L700" s="255"/>
      <c r="M700" s="255"/>
      <c r="N700" s="255"/>
      <c r="O700" s="257"/>
      <c r="P700" s="170"/>
      <c r="Q700" s="184">
        <f>H700</f>
        <v>87</v>
      </c>
      <c r="R700" s="175" t="str">
        <f>CONCATENATE("II-",TEXT(Q700,"0000"))</f>
        <v>II-0087</v>
      </c>
      <c r="S700" s="185" t="str">
        <f>K700</f>
        <v>TOMA DE JUNTA</v>
      </c>
    </row>
    <row r="701" spans="1:19">
      <c r="A701" s="176"/>
      <c r="B701" s="166"/>
      <c r="C701" s="166"/>
      <c r="D701" s="175" t="s">
        <v>1256</v>
      </c>
      <c r="G701" s="170"/>
      <c r="H701" s="186"/>
      <c r="I701" s="187" t="s">
        <v>1020</v>
      </c>
      <c r="J701" s="228"/>
      <c r="K701" s="245" t="s">
        <v>1610</v>
      </c>
      <c r="L701" s="245"/>
      <c r="M701" s="245"/>
      <c r="N701" s="245"/>
      <c r="O701" s="244" t="s">
        <v>1256</v>
      </c>
      <c r="P701" s="170"/>
      <c r="Q701" s="170"/>
      <c r="R701" s="170"/>
      <c r="S701" s="170"/>
    </row>
    <row r="702" spans="1:19" ht="15.75" thickBot="1">
      <c r="A702" s="176"/>
      <c r="B702" s="166"/>
      <c r="C702" s="166"/>
      <c r="D702" s="175" t="s">
        <v>1256</v>
      </c>
      <c r="G702" s="170"/>
      <c r="H702" s="246"/>
      <c r="I702" s="203" t="s">
        <v>1047</v>
      </c>
      <c r="J702" s="204"/>
      <c r="K702" s="205" t="s">
        <v>1436</v>
      </c>
      <c r="L702" s="205"/>
      <c r="M702" s="205"/>
      <c r="N702" s="205"/>
      <c r="O702" s="266" t="s">
        <v>1256</v>
      </c>
      <c r="P702" s="170"/>
      <c r="Q702" s="170"/>
      <c r="R702" s="170"/>
      <c r="S702" s="170"/>
    </row>
    <row r="703" spans="1:19" ht="16.5" thickTop="1" thickBot="1">
      <c r="A703" s="176">
        <v>88</v>
      </c>
      <c r="B703" s="166" t="s">
        <v>1611</v>
      </c>
      <c r="C703" s="166" t="s">
        <v>1612</v>
      </c>
      <c r="D703" s="175" t="s">
        <v>1131</v>
      </c>
      <c r="G703" s="170"/>
      <c r="H703" s="208">
        <v>88</v>
      </c>
      <c r="I703" s="210"/>
      <c r="J703" s="220"/>
      <c r="K703" s="265" t="s">
        <v>1612</v>
      </c>
      <c r="L703" s="220"/>
      <c r="M703" s="220"/>
      <c r="N703" s="220"/>
      <c r="O703" s="230" t="s">
        <v>1131</v>
      </c>
      <c r="P703" s="170"/>
      <c r="Q703" s="184">
        <f t="shared" ref="Q703:Q704" si="69">H703</f>
        <v>88</v>
      </c>
      <c r="R703" s="175" t="str">
        <f t="shared" ref="R703:R704" si="70">CONCATENATE("II-",TEXT(Q703,"0000"))</f>
        <v>II-0088</v>
      </c>
      <c r="S703" s="185" t="str">
        <f t="shared" ref="S703:S704" si="71">K703</f>
        <v>TOSCAPLEN</v>
      </c>
    </row>
    <row r="704" spans="1:19" ht="16.5" thickTop="1" thickBot="1">
      <c r="A704" s="176">
        <v>89</v>
      </c>
      <c r="B704" s="166" t="s">
        <v>1613</v>
      </c>
      <c r="C704" s="166" t="s">
        <v>1614</v>
      </c>
      <c r="D704" s="175" t="s">
        <v>1474</v>
      </c>
      <c r="G704" s="170"/>
      <c r="H704" s="260">
        <v>89</v>
      </c>
      <c r="I704" s="261"/>
      <c r="J704" s="262"/>
      <c r="K704" s="263" t="s">
        <v>1614</v>
      </c>
      <c r="L704" s="262"/>
      <c r="M704" s="262"/>
      <c r="N704" s="262"/>
      <c r="O704" s="264" t="s">
        <v>1474</v>
      </c>
      <c r="P704" s="170"/>
      <c r="Q704" s="184">
        <f t="shared" si="69"/>
        <v>89</v>
      </c>
      <c r="R704" s="175" t="str">
        <f t="shared" si="70"/>
        <v>II-0089</v>
      </c>
      <c r="S704" s="185" t="str">
        <f t="shared" si="71"/>
        <v>VIVENDA PERSONAL DE SUPERVICION</v>
      </c>
    </row>
    <row r="705" spans="1:19">
      <c r="A705" s="176"/>
      <c r="B705" s="166"/>
      <c r="C705" s="166"/>
      <c r="D705" s="175"/>
      <c r="G705" s="170"/>
      <c r="H705" s="238"/>
      <c r="I705" s="175"/>
      <c r="J705" s="170"/>
      <c r="K705" s="170"/>
      <c r="L705" s="170"/>
      <c r="M705" s="170"/>
      <c r="N705" s="170"/>
      <c r="O705" s="173"/>
      <c r="P705" s="170"/>
      <c r="Q705" s="170"/>
      <c r="R705" s="170"/>
      <c r="S705" s="170"/>
    </row>
    <row r="706" spans="1:19">
      <c r="A706" s="176"/>
      <c r="B706" s="166"/>
      <c r="C706" s="166"/>
      <c r="D706" s="175"/>
      <c r="G706" s="170"/>
      <c r="H706" s="238"/>
      <c r="I706" s="175"/>
      <c r="J706" s="170"/>
      <c r="K706" s="170"/>
      <c r="L706" s="170"/>
      <c r="M706" s="170"/>
      <c r="N706" s="170"/>
      <c r="O706" s="173"/>
      <c r="P706" s="170"/>
      <c r="Q706" s="170"/>
      <c r="R706" s="170"/>
      <c r="S706" s="170"/>
    </row>
    <row r="707" spans="1:19">
      <c r="A707" s="176"/>
      <c r="B707" s="166"/>
      <c r="C707" s="166"/>
      <c r="D707" s="175"/>
      <c r="G707" s="170"/>
      <c r="H707" s="238"/>
      <c r="I707" s="175"/>
      <c r="J707" s="170"/>
      <c r="K707" s="170"/>
      <c r="L707" s="170"/>
      <c r="M707" s="170"/>
      <c r="N707" s="170"/>
      <c r="O707" s="173"/>
      <c r="P707" s="170"/>
      <c r="Q707" s="170"/>
      <c r="R707" s="170"/>
      <c r="S707" s="170"/>
    </row>
    <row r="708" spans="1:19">
      <c r="A708" s="176"/>
      <c r="B708" s="166"/>
      <c r="C708" s="166"/>
      <c r="D708" s="175"/>
      <c r="G708" s="170"/>
      <c r="H708" s="238"/>
      <c r="I708" s="175"/>
      <c r="J708" s="170"/>
      <c r="K708" s="170"/>
      <c r="L708" s="170"/>
      <c r="M708" s="170"/>
      <c r="N708" s="170"/>
      <c r="O708" s="173"/>
      <c r="P708" s="170"/>
      <c r="Q708" s="170"/>
      <c r="R708" s="170"/>
      <c r="S708" s="170"/>
    </row>
    <row r="709" spans="1:19">
      <c r="A709" s="176"/>
      <c r="B709" s="166"/>
      <c r="C709" s="166"/>
      <c r="D709" s="175"/>
      <c r="G709" s="170"/>
      <c r="H709" s="238"/>
      <c r="I709" s="175"/>
      <c r="J709" s="170"/>
      <c r="K709" s="170"/>
      <c r="L709" s="170"/>
      <c r="M709" s="170"/>
      <c r="N709" s="170"/>
      <c r="O709" s="173"/>
      <c r="P709" s="170"/>
      <c r="Q709" s="170"/>
      <c r="R709" s="170"/>
      <c r="S709" s="170"/>
    </row>
    <row r="710" spans="1:19">
      <c r="A710" s="176"/>
      <c r="B710" s="166"/>
      <c r="C710" s="166"/>
      <c r="D710" s="175"/>
      <c r="G710" s="170"/>
      <c r="H710" s="238"/>
      <c r="I710" s="175"/>
      <c r="J710" s="170"/>
      <c r="K710" s="170"/>
      <c r="L710" s="170"/>
      <c r="M710" s="170"/>
      <c r="N710" s="170"/>
      <c r="O710" s="173"/>
      <c r="P710" s="170"/>
      <c r="Q710" s="170"/>
      <c r="R710" s="170"/>
      <c r="S710" s="170"/>
    </row>
    <row r="711" spans="1:19">
      <c r="A711" s="176"/>
      <c r="B711" s="166"/>
      <c r="C711" s="166"/>
      <c r="D711" s="175"/>
      <c r="G711" s="170"/>
      <c r="H711" s="238"/>
      <c r="I711" s="175"/>
      <c r="J711" s="170"/>
      <c r="K711" s="170"/>
      <c r="L711" s="170"/>
      <c r="M711" s="170"/>
      <c r="N711" s="170"/>
      <c r="O711" s="173"/>
      <c r="P711" s="170"/>
      <c r="Q711" s="170"/>
      <c r="R711" s="170"/>
      <c r="S711" s="170"/>
    </row>
    <row r="712" spans="1:19">
      <c r="A712" s="176"/>
      <c r="B712" s="166"/>
      <c r="C712" s="166"/>
      <c r="D712" s="175"/>
      <c r="G712" s="170"/>
      <c r="H712" s="238"/>
      <c r="I712" s="175"/>
      <c r="J712" s="170"/>
      <c r="K712" s="170"/>
      <c r="L712" s="170"/>
      <c r="M712" s="170"/>
      <c r="N712" s="170"/>
      <c r="O712" s="173"/>
      <c r="P712" s="170"/>
      <c r="Q712" s="170"/>
      <c r="R712" s="170"/>
      <c r="S712" s="170"/>
    </row>
    <row r="713" spans="1:19">
      <c r="A713" s="176"/>
      <c r="B713" s="166"/>
      <c r="C713" s="166"/>
      <c r="D713" s="175"/>
      <c r="G713" s="170"/>
      <c r="H713" s="238"/>
      <c r="I713" s="175"/>
      <c r="J713" s="170"/>
      <c r="K713" s="170"/>
      <c r="L713" s="170"/>
      <c r="M713" s="170"/>
      <c r="N713" s="170"/>
      <c r="O713" s="173"/>
      <c r="P713" s="170"/>
      <c r="Q713" s="170"/>
      <c r="R713" s="170"/>
      <c r="S713" s="170"/>
    </row>
    <row r="714" spans="1:19">
      <c r="A714" s="176"/>
      <c r="B714" s="166"/>
      <c r="C714" s="166"/>
      <c r="D714" s="175"/>
      <c r="G714" s="170"/>
      <c r="H714" s="238"/>
      <c r="I714" s="175"/>
      <c r="J714" s="170"/>
      <c r="K714" s="170"/>
      <c r="L714" s="170"/>
      <c r="M714" s="170"/>
      <c r="N714" s="170"/>
      <c r="O714" s="173"/>
      <c r="P714" s="170"/>
      <c r="Q714" s="170"/>
      <c r="R714" s="170"/>
      <c r="S714" s="170"/>
    </row>
    <row r="715" spans="1:19">
      <c r="A715" s="176"/>
      <c r="B715" s="166"/>
      <c r="C715" s="166"/>
      <c r="D715" s="175"/>
      <c r="G715" s="170"/>
      <c r="H715" s="238"/>
      <c r="I715" s="175"/>
      <c r="J715" s="170"/>
      <c r="K715" s="170"/>
      <c r="L715" s="170"/>
      <c r="M715" s="170"/>
      <c r="N715" s="170"/>
      <c r="O715" s="173"/>
      <c r="P715" s="170"/>
      <c r="Q715" s="170"/>
      <c r="R715" s="170"/>
      <c r="S715" s="170"/>
    </row>
    <row r="716" spans="1:19">
      <c r="A716" s="176"/>
      <c r="B716" s="166"/>
      <c r="C716" s="166"/>
      <c r="D716" s="175"/>
      <c r="G716" s="170"/>
      <c r="H716" s="238"/>
      <c r="I716" s="175"/>
      <c r="J716" s="170"/>
      <c r="K716" s="170"/>
      <c r="L716" s="170"/>
      <c r="M716" s="170"/>
      <c r="N716" s="170"/>
      <c r="O716" s="173"/>
      <c r="P716" s="170"/>
      <c r="Q716" s="170"/>
      <c r="R716" s="170"/>
      <c r="S716" s="170"/>
    </row>
    <row r="717" spans="1:19">
      <c r="A717" s="176"/>
      <c r="B717" s="166"/>
      <c r="C717" s="166"/>
      <c r="D717" s="175"/>
      <c r="G717" s="170"/>
      <c r="H717" s="238"/>
      <c r="I717" s="175"/>
      <c r="J717" s="170"/>
      <c r="K717" s="170"/>
      <c r="L717" s="170"/>
      <c r="M717" s="170"/>
      <c r="N717" s="170"/>
      <c r="O717" s="173"/>
      <c r="P717" s="170"/>
      <c r="Q717" s="170"/>
      <c r="R717" s="170"/>
      <c r="S717" s="170"/>
    </row>
    <row r="718" spans="1:19">
      <c r="A718" s="176"/>
      <c r="B718" s="166"/>
      <c r="C718" s="166"/>
      <c r="D718" s="175"/>
      <c r="G718" s="170"/>
      <c r="H718" s="238"/>
      <c r="I718" s="175"/>
      <c r="J718" s="170"/>
      <c r="K718" s="170"/>
      <c r="L718" s="170"/>
      <c r="M718" s="170"/>
      <c r="N718" s="170"/>
      <c r="O718" s="173"/>
      <c r="P718" s="170"/>
      <c r="Q718" s="170"/>
      <c r="R718" s="170"/>
      <c r="S718" s="170"/>
    </row>
    <row r="719" spans="1:19">
      <c r="A719" s="176"/>
      <c r="B719" s="166"/>
      <c r="C719" s="166"/>
      <c r="D719" s="175"/>
      <c r="G719" s="170"/>
      <c r="H719" s="238"/>
      <c r="I719" s="175"/>
      <c r="J719" s="170"/>
      <c r="K719" s="170"/>
      <c r="L719" s="170"/>
      <c r="M719" s="170"/>
      <c r="N719" s="170"/>
      <c r="O719" s="173"/>
      <c r="P719" s="170"/>
      <c r="Q719" s="170"/>
      <c r="R719" s="170"/>
      <c r="S719" s="170"/>
    </row>
    <row r="720" spans="1:19">
      <c r="A720" s="176"/>
      <c r="B720" s="166"/>
      <c r="C720" s="166"/>
      <c r="D720" s="175"/>
      <c r="G720" s="170"/>
      <c r="H720" s="238"/>
      <c r="I720" s="175"/>
      <c r="J720" s="170"/>
      <c r="K720" s="170"/>
      <c r="L720" s="170"/>
      <c r="M720" s="170"/>
      <c r="N720" s="170"/>
      <c r="O720" s="173"/>
      <c r="P720" s="170"/>
      <c r="Q720" s="170"/>
      <c r="R720" s="170"/>
      <c r="S720" s="170"/>
    </row>
    <row r="721" spans="1:19">
      <c r="A721" s="176"/>
      <c r="B721" s="166"/>
      <c r="C721" s="166"/>
      <c r="D721" s="175"/>
      <c r="G721" s="170"/>
      <c r="H721" s="238"/>
      <c r="I721" s="175"/>
      <c r="J721" s="170"/>
      <c r="K721" s="170"/>
      <c r="L721" s="170"/>
      <c r="M721" s="170"/>
      <c r="N721" s="170"/>
      <c r="O721" s="173"/>
      <c r="P721" s="170"/>
      <c r="Q721" s="170"/>
      <c r="R721" s="170"/>
      <c r="S721" s="170"/>
    </row>
    <row r="722" spans="1:19">
      <c r="A722" s="176"/>
      <c r="B722" s="166"/>
      <c r="C722" s="166"/>
      <c r="D722" s="175"/>
      <c r="G722" s="170"/>
      <c r="H722" s="238"/>
      <c r="I722" s="175"/>
      <c r="J722" s="170"/>
      <c r="K722" s="170"/>
      <c r="L722" s="170"/>
      <c r="M722" s="170"/>
      <c r="N722" s="170"/>
      <c r="O722" s="173"/>
      <c r="P722" s="170"/>
      <c r="Q722" s="170"/>
      <c r="R722" s="170"/>
      <c r="S722" s="170"/>
    </row>
    <row r="723" spans="1:19">
      <c r="A723" s="176"/>
      <c r="B723" s="166"/>
      <c r="C723" s="166"/>
      <c r="D723" s="175"/>
      <c r="G723" s="170"/>
      <c r="H723" s="238"/>
      <c r="I723" s="175"/>
      <c r="J723" s="170"/>
      <c r="K723" s="170"/>
      <c r="L723" s="170"/>
      <c r="M723" s="170"/>
      <c r="N723" s="170"/>
      <c r="O723" s="173"/>
      <c r="P723" s="170"/>
      <c r="Q723" s="170"/>
      <c r="R723" s="170"/>
      <c r="S723" s="170"/>
    </row>
    <row r="724" spans="1:19">
      <c r="A724" s="176"/>
      <c r="B724" s="166"/>
      <c r="C724" s="166"/>
      <c r="D724" s="175"/>
      <c r="G724" s="170"/>
      <c r="H724" s="238"/>
      <c r="I724" s="175"/>
      <c r="J724" s="170"/>
      <c r="K724" s="170"/>
      <c r="L724" s="170"/>
      <c r="M724" s="170"/>
      <c r="N724" s="170"/>
      <c r="O724" s="173"/>
      <c r="P724" s="170"/>
      <c r="Q724" s="170"/>
      <c r="R724" s="170"/>
      <c r="S724" s="170"/>
    </row>
    <row r="725" spans="1:19">
      <c r="A725" s="176"/>
      <c r="B725" s="166"/>
      <c r="C725" s="166"/>
      <c r="D725" s="175"/>
      <c r="G725" s="170"/>
      <c r="H725" s="238"/>
      <c r="I725" s="175"/>
      <c r="J725" s="170"/>
      <c r="K725" s="170"/>
      <c r="L725" s="170"/>
      <c r="M725" s="170"/>
      <c r="N725" s="170"/>
      <c r="O725" s="173"/>
      <c r="P725" s="170"/>
      <c r="Q725" s="170"/>
      <c r="R725" s="170"/>
      <c r="S725" s="170"/>
    </row>
    <row r="726" spans="1:19">
      <c r="A726" s="176"/>
      <c r="B726" s="166"/>
      <c r="C726" s="166"/>
      <c r="D726" s="175"/>
      <c r="G726" s="170"/>
      <c r="H726" s="238"/>
      <c r="I726" s="175"/>
      <c r="J726" s="170"/>
      <c r="K726" s="170"/>
      <c r="L726" s="170"/>
      <c r="M726" s="170"/>
      <c r="N726" s="170"/>
      <c r="O726" s="173"/>
      <c r="P726" s="170"/>
      <c r="Q726" s="170"/>
      <c r="R726" s="170"/>
      <c r="S726" s="170"/>
    </row>
    <row r="727" spans="1:19">
      <c r="A727" s="176"/>
      <c r="B727" s="166"/>
      <c r="C727" s="166"/>
      <c r="D727" s="175"/>
      <c r="G727" s="170"/>
      <c r="H727" s="238"/>
      <c r="I727" s="175"/>
      <c r="J727" s="170"/>
      <c r="K727" s="170"/>
      <c r="L727" s="170"/>
      <c r="M727" s="170"/>
      <c r="N727" s="170"/>
      <c r="O727" s="173"/>
      <c r="P727" s="170"/>
      <c r="Q727" s="170"/>
      <c r="R727" s="170"/>
      <c r="S727" s="170"/>
    </row>
    <row r="728" spans="1:19">
      <c r="A728" s="176"/>
      <c r="B728" s="166"/>
      <c r="C728" s="166"/>
      <c r="D728" s="175"/>
      <c r="G728" s="170"/>
      <c r="H728" s="238"/>
      <c r="I728" s="175"/>
      <c r="J728" s="170"/>
      <c r="K728" s="170"/>
      <c r="L728" s="170"/>
      <c r="M728" s="170"/>
      <c r="N728" s="170"/>
      <c r="O728" s="173"/>
      <c r="P728" s="170"/>
      <c r="Q728" s="170"/>
      <c r="R728" s="170"/>
      <c r="S728" s="170"/>
    </row>
    <row r="729" spans="1:19">
      <c r="A729" s="176"/>
      <c r="B729" s="166"/>
      <c r="C729" s="166"/>
      <c r="D729" s="175"/>
      <c r="G729" s="170"/>
      <c r="H729" s="238"/>
      <c r="I729" s="175"/>
      <c r="J729" s="170"/>
      <c r="K729" s="170"/>
      <c r="L729" s="170"/>
      <c r="M729" s="170"/>
      <c r="N729" s="170"/>
      <c r="O729" s="173"/>
      <c r="P729" s="170"/>
      <c r="Q729" s="170"/>
      <c r="R729" s="170"/>
      <c r="S729" s="170"/>
    </row>
    <row r="730" spans="1:19">
      <c r="A730" s="176"/>
      <c r="B730" s="166"/>
      <c r="C730" s="166"/>
      <c r="D730" s="175"/>
      <c r="G730" s="170"/>
      <c r="H730" s="238"/>
      <c r="I730" s="175"/>
      <c r="J730" s="170"/>
      <c r="K730" s="170"/>
      <c r="L730" s="170"/>
      <c r="M730" s="170"/>
      <c r="N730" s="170"/>
      <c r="O730" s="173"/>
      <c r="P730" s="170"/>
      <c r="Q730" s="170"/>
      <c r="R730" s="170"/>
      <c r="S730" s="170"/>
    </row>
    <row r="731" spans="1:19">
      <c r="A731" s="176"/>
      <c r="B731" s="166"/>
      <c r="C731" s="166"/>
      <c r="D731" s="175"/>
      <c r="G731" s="170"/>
      <c r="H731" s="238"/>
      <c r="I731" s="175"/>
      <c r="J731" s="170"/>
      <c r="K731" s="170"/>
      <c r="L731" s="170"/>
      <c r="M731" s="170"/>
      <c r="N731" s="170"/>
      <c r="O731" s="173"/>
      <c r="P731" s="170"/>
      <c r="Q731" s="170"/>
      <c r="R731" s="170"/>
      <c r="S731" s="170"/>
    </row>
    <row r="732" spans="1:19">
      <c r="A732" s="176"/>
      <c r="B732" s="166"/>
      <c r="C732" s="166"/>
      <c r="D732" s="175"/>
      <c r="G732" s="170"/>
      <c r="H732" s="238"/>
      <c r="I732" s="175"/>
      <c r="J732" s="170"/>
      <c r="K732" s="170"/>
      <c r="L732" s="170"/>
      <c r="M732" s="170"/>
      <c r="N732" s="170"/>
      <c r="O732" s="173"/>
      <c r="P732" s="170"/>
      <c r="Q732" s="170"/>
      <c r="R732" s="170"/>
      <c r="S732" s="170"/>
    </row>
    <row r="733" spans="1:19">
      <c r="A733" s="176"/>
      <c r="B733" s="166"/>
      <c r="C733" s="166"/>
      <c r="D733" s="175"/>
      <c r="G733" s="170"/>
      <c r="H733" s="238"/>
      <c r="I733" s="175"/>
      <c r="J733" s="170"/>
      <c r="K733" s="170"/>
      <c r="L733" s="170"/>
      <c r="M733" s="170"/>
      <c r="N733" s="170"/>
      <c r="O733" s="173"/>
      <c r="P733" s="170"/>
      <c r="Q733" s="170"/>
      <c r="R733" s="170"/>
      <c r="S733" s="170"/>
    </row>
    <row r="734" spans="1:19">
      <c r="A734" s="176"/>
      <c r="B734" s="166"/>
      <c r="C734" s="166"/>
      <c r="D734" s="175"/>
      <c r="G734" s="170"/>
      <c r="H734" s="238"/>
      <c r="I734" s="175"/>
      <c r="J734" s="170"/>
      <c r="K734" s="170"/>
      <c r="L734" s="170"/>
      <c r="M734" s="170"/>
      <c r="N734" s="170"/>
      <c r="O734" s="173"/>
      <c r="P734" s="170"/>
      <c r="Q734" s="170"/>
      <c r="R734" s="170"/>
      <c r="S734" s="170"/>
    </row>
    <row r="735" spans="1:19">
      <c r="A735" s="176"/>
      <c r="B735" s="166"/>
      <c r="C735" s="166"/>
      <c r="D735" s="175"/>
      <c r="G735" s="170"/>
      <c r="H735" s="238"/>
      <c r="I735" s="175"/>
      <c r="J735" s="170"/>
      <c r="K735" s="170"/>
      <c r="L735" s="170"/>
      <c r="M735" s="170"/>
      <c r="N735" s="170"/>
      <c r="O735" s="173"/>
      <c r="P735" s="170"/>
      <c r="Q735" s="170"/>
      <c r="R735" s="170"/>
      <c r="S735" s="170"/>
    </row>
    <row r="736" spans="1:19">
      <c r="A736" s="176"/>
      <c r="B736" s="166"/>
      <c r="C736" s="166"/>
      <c r="D736" s="175"/>
      <c r="G736" s="170"/>
      <c r="H736" s="238"/>
      <c r="I736" s="175"/>
      <c r="J736" s="170"/>
      <c r="K736" s="170"/>
      <c r="L736" s="170"/>
      <c r="M736" s="170"/>
      <c r="N736" s="170"/>
      <c r="O736" s="173"/>
      <c r="P736" s="170"/>
      <c r="Q736" s="170"/>
      <c r="R736" s="170"/>
      <c r="S736" s="170"/>
    </row>
    <row r="737" spans="1:19">
      <c r="A737" s="176"/>
      <c r="B737" s="166"/>
      <c r="C737" s="166"/>
      <c r="D737" s="175"/>
      <c r="G737" s="170"/>
      <c r="H737" s="238"/>
      <c r="I737" s="175"/>
      <c r="J737" s="170"/>
      <c r="K737" s="170"/>
      <c r="L737" s="170"/>
      <c r="M737" s="170"/>
      <c r="N737" s="170"/>
      <c r="O737" s="173"/>
      <c r="P737" s="170"/>
      <c r="Q737" s="170"/>
      <c r="R737" s="170"/>
      <c r="S737" s="170"/>
    </row>
    <row r="738" spans="1:19">
      <c r="A738" s="176"/>
      <c r="B738" s="166"/>
      <c r="C738" s="166"/>
      <c r="D738" s="175"/>
      <c r="G738" s="170"/>
      <c r="H738" s="238"/>
      <c r="I738" s="175"/>
      <c r="J738" s="170"/>
      <c r="K738" s="170"/>
      <c r="L738" s="170"/>
      <c r="M738" s="170"/>
      <c r="N738" s="170"/>
      <c r="O738" s="173"/>
      <c r="P738" s="170"/>
      <c r="Q738" s="170"/>
      <c r="R738" s="170"/>
      <c r="S738" s="170"/>
    </row>
    <row r="739" spans="1:19">
      <c r="A739" s="176"/>
      <c r="B739" s="166"/>
      <c r="C739" s="166"/>
      <c r="D739" s="175"/>
      <c r="G739" s="170"/>
      <c r="H739" s="238"/>
      <c r="I739" s="175"/>
      <c r="J739" s="170"/>
      <c r="K739" s="170"/>
      <c r="L739" s="170"/>
      <c r="M739" s="170"/>
      <c r="N739" s="170"/>
      <c r="O739" s="173"/>
      <c r="P739" s="170"/>
      <c r="Q739" s="170"/>
      <c r="R739" s="170"/>
      <c r="S739" s="170"/>
    </row>
    <row r="740" spans="1:19">
      <c r="A740" s="176"/>
      <c r="B740" s="166"/>
      <c r="C740" s="166"/>
      <c r="D740" s="175"/>
      <c r="G740" s="170"/>
      <c r="H740" s="238"/>
      <c r="I740" s="175"/>
      <c r="J740" s="170"/>
      <c r="K740" s="170"/>
      <c r="L740" s="170"/>
      <c r="M740" s="170"/>
      <c r="N740" s="170"/>
      <c r="O740" s="173"/>
      <c r="P740" s="170"/>
      <c r="Q740" s="170"/>
      <c r="R740" s="170"/>
      <c r="S740" s="170"/>
    </row>
    <row r="741" spans="1:19">
      <c r="A741" s="176"/>
      <c r="B741" s="166"/>
      <c r="C741" s="166"/>
      <c r="D741" s="175"/>
      <c r="G741" s="170"/>
      <c r="H741" s="238"/>
      <c r="I741" s="175"/>
      <c r="J741" s="170"/>
      <c r="K741" s="170"/>
      <c r="L741" s="170"/>
      <c r="M741" s="170"/>
      <c r="N741" s="170"/>
      <c r="O741" s="173"/>
      <c r="P741" s="170"/>
      <c r="Q741" s="170"/>
      <c r="R741" s="170"/>
      <c r="S741" s="170"/>
    </row>
    <row r="742" spans="1:19">
      <c r="A742" s="176"/>
      <c r="B742" s="166"/>
      <c r="C742" s="166"/>
      <c r="D742" s="175"/>
      <c r="G742" s="170"/>
      <c r="H742" s="238"/>
      <c r="I742" s="175"/>
      <c r="J742" s="170"/>
      <c r="K742" s="170"/>
      <c r="L742" s="170"/>
      <c r="M742" s="170"/>
      <c r="N742" s="170"/>
      <c r="O742" s="173"/>
      <c r="P742" s="170"/>
      <c r="Q742" s="170"/>
      <c r="R742" s="170"/>
      <c r="S742" s="170"/>
    </row>
    <row r="743" spans="1:19">
      <c r="A743" s="176"/>
      <c r="B743" s="166"/>
      <c r="C743" s="166"/>
      <c r="D743" s="175"/>
      <c r="G743" s="170"/>
      <c r="H743" s="238"/>
      <c r="I743" s="175"/>
      <c r="J743" s="170"/>
      <c r="K743" s="170"/>
      <c r="L743" s="170"/>
      <c r="M743" s="170"/>
      <c r="N743" s="170"/>
      <c r="O743" s="173"/>
      <c r="P743" s="170"/>
      <c r="Q743" s="170"/>
      <c r="R743" s="170"/>
      <c r="S743" s="170"/>
    </row>
    <row r="744" spans="1:19">
      <c r="A744" s="176"/>
      <c r="B744" s="166"/>
      <c r="C744" s="166"/>
      <c r="D744" s="175"/>
      <c r="G744" s="170"/>
      <c r="H744" s="238"/>
      <c r="I744" s="175"/>
      <c r="J744" s="170"/>
      <c r="K744" s="170"/>
      <c r="L744" s="170"/>
      <c r="M744" s="170"/>
      <c r="N744" s="170"/>
      <c r="O744" s="173"/>
      <c r="P744" s="170"/>
      <c r="Q744" s="170"/>
      <c r="R744" s="170"/>
      <c r="S744" s="170"/>
    </row>
    <row r="745" spans="1:19">
      <c r="A745" s="176"/>
      <c r="B745" s="166"/>
      <c r="C745" s="166"/>
      <c r="D745" s="175"/>
      <c r="G745" s="170"/>
      <c r="H745" s="238"/>
      <c r="I745" s="175"/>
      <c r="J745" s="170"/>
      <c r="K745" s="170"/>
      <c r="L745" s="170"/>
      <c r="M745" s="170"/>
      <c r="N745" s="170"/>
      <c r="O745" s="173"/>
      <c r="P745" s="170"/>
      <c r="Q745" s="170"/>
      <c r="R745" s="170"/>
      <c r="S745" s="170"/>
    </row>
    <row r="746" spans="1:19">
      <c r="A746" s="176"/>
      <c r="B746" s="166"/>
      <c r="C746" s="166"/>
      <c r="D746" s="175"/>
      <c r="G746" s="170"/>
      <c r="H746" s="238"/>
      <c r="I746" s="175"/>
      <c r="J746" s="170"/>
      <c r="K746" s="170"/>
      <c r="L746" s="170"/>
      <c r="M746" s="170"/>
      <c r="N746" s="170"/>
      <c r="O746" s="173"/>
      <c r="P746" s="170"/>
      <c r="Q746" s="170"/>
      <c r="R746" s="170"/>
      <c r="S746" s="170"/>
    </row>
    <row r="747" spans="1:19">
      <c r="A747" s="176"/>
      <c r="B747" s="166"/>
      <c r="C747" s="166"/>
      <c r="D747" s="175"/>
      <c r="G747" s="170"/>
      <c r="H747" s="238"/>
      <c r="I747" s="175"/>
      <c r="J747" s="170"/>
      <c r="K747" s="170"/>
      <c r="L747" s="170"/>
      <c r="M747" s="170"/>
      <c r="N747" s="170"/>
      <c r="O747" s="173"/>
      <c r="P747" s="170"/>
      <c r="Q747" s="170"/>
      <c r="R747" s="170"/>
      <c r="S747" s="170"/>
    </row>
    <row r="748" spans="1:19">
      <c r="A748" s="176"/>
      <c r="B748" s="166"/>
      <c r="C748" s="166"/>
      <c r="D748" s="175"/>
      <c r="G748" s="170"/>
      <c r="H748" s="238"/>
      <c r="I748" s="175"/>
      <c r="J748" s="170"/>
      <c r="K748" s="170"/>
      <c r="L748" s="170"/>
      <c r="M748" s="170"/>
      <c r="N748" s="170"/>
      <c r="O748" s="173"/>
      <c r="P748" s="170"/>
      <c r="Q748" s="170"/>
      <c r="R748" s="170"/>
      <c r="S748" s="170"/>
    </row>
    <row r="749" spans="1:19">
      <c r="A749" s="176"/>
      <c r="B749" s="166"/>
      <c r="C749" s="166"/>
      <c r="D749" s="175"/>
      <c r="G749" s="170"/>
      <c r="H749" s="238"/>
      <c r="I749" s="175"/>
      <c r="J749" s="170"/>
      <c r="K749" s="170"/>
      <c r="L749" s="170"/>
      <c r="M749" s="170"/>
      <c r="N749" s="170"/>
      <c r="O749" s="173"/>
      <c r="P749" s="170"/>
      <c r="Q749" s="170"/>
      <c r="R749" s="170"/>
      <c r="S749" s="170"/>
    </row>
    <row r="750" spans="1:19">
      <c r="A750" s="176"/>
      <c r="B750" s="166"/>
      <c r="C750" s="166"/>
      <c r="D750" s="175"/>
      <c r="G750" s="170"/>
      <c r="H750" s="238"/>
      <c r="I750" s="175"/>
      <c r="J750" s="170"/>
      <c r="K750" s="170"/>
      <c r="L750" s="170"/>
      <c r="M750" s="170"/>
      <c r="N750" s="170"/>
      <c r="O750" s="173"/>
      <c r="P750" s="170"/>
      <c r="Q750" s="170"/>
      <c r="R750" s="170"/>
      <c r="S750" s="170"/>
    </row>
    <row r="751" spans="1:19">
      <c r="A751" s="176"/>
      <c r="B751" s="166"/>
      <c r="C751" s="166"/>
      <c r="D751" s="175"/>
      <c r="G751" s="170"/>
      <c r="H751" s="238"/>
      <c r="I751" s="175"/>
      <c r="J751" s="170"/>
      <c r="K751" s="170"/>
      <c r="L751" s="170"/>
      <c r="M751" s="170"/>
      <c r="N751" s="170"/>
      <c r="O751" s="173"/>
      <c r="P751" s="170"/>
      <c r="Q751" s="170"/>
      <c r="R751" s="170"/>
      <c r="S751" s="170"/>
    </row>
    <row r="752" spans="1:19">
      <c r="A752" s="176"/>
      <c r="B752" s="166"/>
      <c r="C752" s="166"/>
      <c r="D752" s="175"/>
      <c r="G752" s="170"/>
      <c r="H752" s="238"/>
      <c r="I752" s="175"/>
      <c r="J752" s="170"/>
      <c r="K752" s="170"/>
      <c r="L752" s="170"/>
      <c r="M752" s="170"/>
      <c r="N752" s="170"/>
      <c r="O752" s="173"/>
      <c r="P752" s="170"/>
      <c r="Q752" s="170"/>
      <c r="R752" s="170"/>
      <c r="S752" s="170"/>
    </row>
    <row r="753" spans="1:19">
      <c r="A753" s="176"/>
      <c r="B753" s="166"/>
      <c r="C753" s="166"/>
      <c r="D753" s="175"/>
      <c r="G753" s="170"/>
      <c r="H753" s="238"/>
      <c r="I753" s="175"/>
      <c r="J753" s="170"/>
      <c r="K753" s="170"/>
      <c r="L753" s="170"/>
      <c r="M753" s="170"/>
      <c r="N753" s="170"/>
      <c r="O753" s="173"/>
      <c r="P753" s="170"/>
      <c r="Q753" s="170"/>
      <c r="R753" s="170"/>
      <c r="S753" s="170"/>
    </row>
    <row r="754" spans="1:19">
      <c r="A754" s="176"/>
      <c r="B754" s="166"/>
      <c r="C754" s="166"/>
      <c r="D754" s="175"/>
      <c r="G754" s="170"/>
      <c r="H754" s="238"/>
      <c r="I754" s="175"/>
      <c r="J754" s="170"/>
      <c r="K754" s="170"/>
      <c r="L754" s="170"/>
      <c r="M754" s="170"/>
      <c r="N754" s="170"/>
      <c r="O754" s="173"/>
      <c r="P754" s="170"/>
      <c r="Q754" s="170"/>
      <c r="R754" s="170"/>
      <c r="S754" s="170"/>
    </row>
    <row r="755" spans="1:19">
      <c r="A755" s="176"/>
      <c r="B755" s="166"/>
      <c r="C755" s="166"/>
      <c r="D755" s="175"/>
      <c r="G755" s="170"/>
      <c r="H755" s="238"/>
      <c r="I755" s="175"/>
      <c r="J755" s="170"/>
      <c r="K755" s="170"/>
      <c r="L755" s="170"/>
      <c r="M755" s="170"/>
      <c r="N755" s="170"/>
      <c r="O755" s="173"/>
      <c r="P755" s="170"/>
      <c r="Q755" s="170"/>
      <c r="R755" s="170"/>
      <c r="S755" s="170"/>
    </row>
    <row r="756" spans="1:19">
      <c r="A756" s="176"/>
      <c r="B756" s="166"/>
      <c r="C756" s="166"/>
      <c r="D756" s="175"/>
      <c r="G756" s="170"/>
      <c r="H756" s="238"/>
      <c r="I756" s="175"/>
      <c r="J756" s="170"/>
      <c r="K756" s="170"/>
      <c r="L756" s="170"/>
      <c r="M756" s="170"/>
      <c r="N756" s="170"/>
      <c r="O756" s="173"/>
      <c r="P756" s="170"/>
      <c r="Q756" s="170"/>
      <c r="R756" s="170"/>
      <c r="S756" s="170"/>
    </row>
    <row r="757" spans="1:19">
      <c r="A757" s="176"/>
      <c r="B757" s="166"/>
      <c r="C757" s="166"/>
      <c r="D757" s="175"/>
      <c r="G757" s="170"/>
      <c r="H757" s="238"/>
      <c r="I757" s="175"/>
      <c r="J757" s="170"/>
      <c r="K757" s="170"/>
      <c r="L757" s="170"/>
      <c r="M757" s="170"/>
      <c r="N757" s="170"/>
      <c r="O757" s="173"/>
      <c r="P757" s="170"/>
      <c r="Q757" s="170"/>
      <c r="R757" s="170"/>
      <c r="S757" s="170"/>
    </row>
    <row r="758" spans="1:19">
      <c r="A758" s="176"/>
      <c r="B758" s="166"/>
      <c r="C758" s="166"/>
      <c r="D758" s="175"/>
      <c r="G758" s="170"/>
      <c r="H758" s="238"/>
      <c r="I758" s="175"/>
      <c r="J758" s="170"/>
      <c r="K758" s="170"/>
      <c r="L758" s="170"/>
      <c r="M758" s="170"/>
      <c r="N758" s="170"/>
      <c r="O758" s="173"/>
      <c r="P758" s="170"/>
      <c r="Q758" s="170"/>
      <c r="R758" s="170"/>
      <c r="S758" s="170"/>
    </row>
    <row r="759" spans="1:19">
      <c r="A759" s="176"/>
      <c r="B759" s="166"/>
      <c r="C759" s="166"/>
      <c r="D759" s="175"/>
      <c r="G759" s="170"/>
      <c r="H759" s="238"/>
      <c r="I759" s="175"/>
      <c r="J759" s="170"/>
      <c r="K759" s="170"/>
      <c r="L759" s="170"/>
      <c r="M759" s="170"/>
      <c r="N759" s="170"/>
      <c r="O759" s="173"/>
      <c r="P759" s="170"/>
      <c r="Q759" s="170"/>
      <c r="R759" s="170"/>
      <c r="S759" s="170"/>
    </row>
    <row r="760" spans="1:19">
      <c r="A760" s="176"/>
      <c r="B760" s="166"/>
      <c r="C760" s="166"/>
      <c r="D760" s="175"/>
      <c r="G760" s="170"/>
      <c r="H760" s="238"/>
      <c r="I760" s="175"/>
      <c r="J760" s="170"/>
      <c r="K760" s="170"/>
      <c r="L760" s="170"/>
      <c r="M760" s="170"/>
      <c r="N760" s="170"/>
      <c r="O760" s="173"/>
      <c r="P760" s="170"/>
      <c r="Q760" s="170"/>
      <c r="R760" s="170"/>
      <c r="S760" s="170"/>
    </row>
    <row r="761" spans="1:19">
      <c r="A761" s="176"/>
      <c r="B761" s="166"/>
      <c r="C761" s="166"/>
      <c r="D761" s="175"/>
      <c r="G761" s="170"/>
      <c r="H761" s="238"/>
      <c r="I761" s="175"/>
      <c r="J761" s="170"/>
      <c r="K761" s="170"/>
      <c r="L761" s="170"/>
      <c r="M761" s="170"/>
      <c r="N761" s="170"/>
      <c r="O761" s="173"/>
      <c r="P761" s="170"/>
      <c r="Q761" s="170"/>
      <c r="R761" s="170"/>
      <c r="S761" s="170"/>
    </row>
    <row r="762" spans="1:19">
      <c r="A762" s="176"/>
      <c r="B762" s="166"/>
      <c r="C762" s="166"/>
      <c r="D762" s="175"/>
      <c r="G762" s="170"/>
      <c r="H762" s="238"/>
      <c r="I762" s="175"/>
      <c r="J762" s="170"/>
      <c r="K762" s="170"/>
      <c r="L762" s="170"/>
      <c r="M762" s="170"/>
      <c r="N762" s="170"/>
      <c r="O762" s="173"/>
      <c r="P762" s="170"/>
      <c r="Q762" s="170"/>
      <c r="R762" s="170"/>
      <c r="S762" s="170"/>
    </row>
    <row r="763" spans="1:19">
      <c r="A763" s="176"/>
      <c r="B763" s="166"/>
      <c r="C763" s="166"/>
      <c r="D763" s="175"/>
      <c r="G763" s="170"/>
      <c r="H763" s="238"/>
      <c r="I763" s="175"/>
      <c r="J763" s="170"/>
      <c r="K763" s="170"/>
      <c r="L763" s="170"/>
      <c r="M763" s="170"/>
      <c r="N763" s="170"/>
      <c r="O763" s="173"/>
      <c r="P763" s="170"/>
      <c r="Q763" s="170"/>
      <c r="R763" s="170"/>
      <c r="S763" s="170"/>
    </row>
    <row r="764" spans="1:19">
      <c r="A764" s="176"/>
      <c r="B764" s="166"/>
      <c r="C764" s="166"/>
      <c r="D764" s="175"/>
      <c r="G764" s="170"/>
      <c r="H764" s="238"/>
      <c r="I764" s="175"/>
      <c r="J764" s="170"/>
      <c r="K764" s="170"/>
      <c r="L764" s="170"/>
      <c r="M764" s="170"/>
      <c r="N764" s="170"/>
      <c r="O764" s="173"/>
      <c r="P764" s="170"/>
      <c r="Q764" s="170"/>
      <c r="R764" s="170"/>
      <c r="S764" s="170"/>
    </row>
    <row r="765" spans="1:19">
      <c r="A765" s="176"/>
      <c r="B765" s="166"/>
      <c r="C765" s="166"/>
      <c r="D765" s="175"/>
      <c r="G765" s="170"/>
      <c r="H765" s="238"/>
      <c r="I765" s="175"/>
      <c r="J765" s="170"/>
      <c r="K765" s="170"/>
      <c r="L765" s="170"/>
      <c r="M765" s="170"/>
      <c r="N765" s="170"/>
      <c r="O765" s="173"/>
      <c r="P765" s="170"/>
      <c r="Q765" s="170"/>
      <c r="R765" s="170"/>
      <c r="S765" s="170"/>
    </row>
    <row r="766" spans="1:19">
      <c r="A766" s="176"/>
      <c r="B766" s="166"/>
      <c r="C766" s="166"/>
      <c r="D766" s="175"/>
      <c r="G766" s="170"/>
      <c r="H766" s="174"/>
      <c r="I766" s="175"/>
      <c r="J766" s="170"/>
      <c r="K766" s="170"/>
      <c r="L766" s="170"/>
      <c r="M766" s="170"/>
      <c r="N766" s="170"/>
      <c r="O766" s="173"/>
      <c r="P766" s="170"/>
      <c r="Q766" s="170"/>
      <c r="R766" s="170"/>
      <c r="S766" s="170"/>
    </row>
    <row r="767" spans="1:19">
      <c r="A767" s="176"/>
      <c r="B767" s="166"/>
      <c r="C767" s="166"/>
      <c r="D767" s="175"/>
      <c r="G767" s="170"/>
      <c r="H767" s="174"/>
      <c r="I767" s="175"/>
      <c r="J767" s="170"/>
      <c r="K767" s="170"/>
      <c r="L767" s="170"/>
      <c r="M767" s="170"/>
      <c r="N767" s="170"/>
      <c r="O767" s="173"/>
      <c r="P767" s="170"/>
      <c r="Q767" s="170"/>
      <c r="R767" s="170"/>
      <c r="S767" s="170"/>
    </row>
    <row r="768" spans="1:19">
      <c r="A768" s="176"/>
      <c r="B768" s="166"/>
      <c r="C768" s="166"/>
      <c r="D768" s="175"/>
      <c r="G768" s="170"/>
      <c r="H768" s="174"/>
      <c r="I768" s="175"/>
      <c r="J768" s="170"/>
      <c r="K768" s="170"/>
      <c r="L768" s="170"/>
      <c r="M768" s="170"/>
      <c r="N768" s="170"/>
      <c r="O768" s="173"/>
      <c r="P768" s="170"/>
      <c r="Q768" s="170"/>
      <c r="R768" s="170"/>
      <c r="S768" s="170"/>
    </row>
    <row r="769" spans="1:19">
      <c r="A769" s="176"/>
      <c r="B769" s="166"/>
      <c r="C769" s="166"/>
      <c r="D769" s="175"/>
      <c r="G769" s="170"/>
      <c r="H769" s="174"/>
      <c r="I769" s="175"/>
      <c r="J769" s="170"/>
      <c r="K769" s="170"/>
      <c r="L769" s="170"/>
      <c r="M769" s="170"/>
      <c r="N769" s="170"/>
      <c r="O769" s="173"/>
      <c r="P769" s="170"/>
      <c r="Q769" s="170"/>
      <c r="R769" s="170"/>
      <c r="S769" s="170"/>
    </row>
    <row r="770" spans="1:19">
      <c r="A770" s="176"/>
      <c r="B770" s="166"/>
      <c r="C770" s="166"/>
      <c r="D770" s="175"/>
      <c r="G770" s="170"/>
      <c r="H770" s="174"/>
      <c r="I770" s="175"/>
      <c r="J770" s="170"/>
      <c r="K770" s="170"/>
      <c r="L770" s="170"/>
      <c r="M770" s="170"/>
      <c r="N770" s="170"/>
      <c r="O770" s="173"/>
      <c r="P770" s="170"/>
      <c r="Q770" s="170"/>
      <c r="R770" s="170"/>
      <c r="S770" s="170"/>
    </row>
    <row r="771" spans="1:19">
      <c r="A771" s="176"/>
      <c r="B771" s="166"/>
      <c r="C771" s="166"/>
      <c r="D771" s="175"/>
      <c r="G771" s="170"/>
      <c r="H771" s="174"/>
      <c r="I771" s="175"/>
      <c r="J771" s="170"/>
      <c r="K771" s="170"/>
      <c r="L771" s="170"/>
      <c r="M771" s="170"/>
      <c r="N771" s="170"/>
      <c r="O771" s="173"/>
      <c r="P771" s="170"/>
      <c r="Q771" s="170"/>
      <c r="R771" s="170"/>
      <c r="S771" s="170"/>
    </row>
    <row r="772" spans="1:19">
      <c r="A772" s="176"/>
      <c r="B772" s="166"/>
      <c r="C772" s="166"/>
      <c r="D772" s="175"/>
      <c r="G772" s="170"/>
      <c r="H772" s="174"/>
      <c r="I772" s="175"/>
      <c r="J772" s="170"/>
      <c r="K772" s="170"/>
      <c r="L772" s="170"/>
      <c r="M772" s="170"/>
      <c r="N772" s="170"/>
      <c r="O772" s="173"/>
      <c r="P772" s="170"/>
      <c r="Q772" s="170"/>
      <c r="R772" s="170"/>
      <c r="S772" s="170"/>
    </row>
    <row r="773" spans="1:19">
      <c r="A773" s="176"/>
      <c r="B773" s="166"/>
      <c r="C773" s="166"/>
      <c r="D773" s="175"/>
      <c r="G773" s="170"/>
      <c r="H773" s="174"/>
      <c r="I773" s="175"/>
      <c r="J773" s="170"/>
      <c r="K773" s="170"/>
      <c r="L773" s="170"/>
      <c r="M773" s="170"/>
      <c r="N773" s="170"/>
      <c r="O773" s="173"/>
      <c r="P773" s="170"/>
      <c r="Q773" s="170"/>
      <c r="R773" s="170"/>
      <c r="S773" s="170"/>
    </row>
    <row r="774" spans="1:19">
      <c r="A774" s="176"/>
      <c r="B774" s="166"/>
      <c r="C774" s="166"/>
      <c r="D774" s="175"/>
      <c r="G774" s="170"/>
      <c r="H774" s="174"/>
      <c r="I774" s="175"/>
      <c r="J774" s="170"/>
      <c r="K774" s="170"/>
      <c r="L774" s="170"/>
      <c r="M774" s="170"/>
      <c r="N774" s="170"/>
      <c r="O774" s="173"/>
      <c r="P774" s="170"/>
      <c r="Q774" s="170"/>
      <c r="R774" s="170"/>
      <c r="S774" s="170"/>
    </row>
    <row r="775" spans="1:19">
      <c r="A775" s="176"/>
      <c r="B775" s="166"/>
      <c r="C775" s="166"/>
      <c r="D775" s="175"/>
      <c r="G775" s="170"/>
      <c r="H775" s="174"/>
      <c r="I775" s="175"/>
      <c r="J775" s="170"/>
      <c r="K775" s="170"/>
      <c r="L775" s="170"/>
      <c r="M775" s="170"/>
      <c r="N775" s="170"/>
      <c r="O775" s="173"/>
      <c r="P775" s="170"/>
      <c r="Q775" s="170"/>
      <c r="R775" s="170"/>
      <c r="S775" s="170"/>
    </row>
    <row r="776" spans="1:19">
      <c r="A776" s="176"/>
      <c r="B776" s="166"/>
      <c r="C776" s="166"/>
      <c r="D776" s="175"/>
      <c r="G776" s="170"/>
      <c r="H776" s="174"/>
      <c r="I776" s="175"/>
      <c r="J776" s="170"/>
      <c r="K776" s="170"/>
      <c r="L776" s="170"/>
      <c r="M776" s="170"/>
      <c r="N776" s="170"/>
      <c r="O776" s="173"/>
      <c r="P776" s="170"/>
      <c r="Q776" s="170"/>
      <c r="R776" s="170"/>
      <c r="S776" s="170"/>
    </row>
    <row r="777" spans="1:19">
      <c r="A777" s="176"/>
      <c r="B777" s="166"/>
      <c r="C777" s="166"/>
      <c r="D777" s="175"/>
      <c r="G777" s="170"/>
      <c r="H777" s="174"/>
      <c r="I777" s="175"/>
      <c r="J777" s="170"/>
      <c r="K777" s="170"/>
      <c r="L777" s="170"/>
      <c r="M777" s="170"/>
      <c r="N777" s="170"/>
      <c r="O777" s="173"/>
      <c r="P777" s="170"/>
      <c r="Q777" s="170"/>
      <c r="R777" s="170"/>
      <c r="S777" s="170"/>
    </row>
    <row r="778" spans="1:19">
      <c r="A778" s="176"/>
      <c r="B778" s="166"/>
      <c r="C778" s="166"/>
      <c r="D778" s="175"/>
      <c r="G778" s="170"/>
      <c r="H778" s="174"/>
      <c r="I778" s="175"/>
      <c r="J778" s="170"/>
      <c r="K778" s="170"/>
      <c r="L778" s="170"/>
      <c r="M778" s="170"/>
      <c r="N778" s="170"/>
      <c r="O778" s="173"/>
      <c r="P778" s="170"/>
      <c r="Q778" s="170"/>
      <c r="R778" s="170"/>
      <c r="S778" s="170"/>
    </row>
    <row r="779" spans="1:19">
      <c r="A779" s="176"/>
      <c r="B779" s="166"/>
      <c r="C779" s="166"/>
      <c r="D779" s="175"/>
      <c r="G779" s="170"/>
      <c r="H779" s="174"/>
      <c r="I779" s="175"/>
      <c r="J779" s="170"/>
      <c r="K779" s="170"/>
      <c r="L779" s="170"/>
      <c r="M779" s="170"/>
      <c r="N779" s="170"/>
      <c r="O779" s="173"/>
      <c r="P779" s="170"/>
      <c r="Q779" s="170"/>
      <c r="R779" s="170"/>
      <c r="S779" s="170"/>
    </row>
    <row r="780" spans="1:19">
      <c r="A780" s="176"/>
      <c r="B780" s="166"/>
      <c r="C780" s="166"/>
      <c r="D780" s="175"/>
      <c r="G780" s="170"/>
      <c r="H780" s="174"/>
      <c r="I780" s="175"/>
      <c r="J780" s="170"/>
      <c r="K780" s="170"/>
      <c r="L780" s="170"/>
      <c r="M780" s="170"/>
      <c r="N780" s="170"/>
      <c r="O780" s="173"/>
      <c r="P780" s="170"/>
      <c r="Q780" s="170"/>
      <c r="R780" s="170"/>
      <c r="S780" s="170"/>
    </row>
    <row r="781" spans="1:19">
      <c r="A781" s="176"/>
      <c r="B781" s="166"/>
      <c r="C781" s="166"/>
      <c r="D781" s="175"/>
      <c r="G781" s="170"/>
      <c r="H781" s="174"/>
      <c r="I781" s="175"/>
      <c r="J781" s="170"/>
      <c r="K781" s="170"/>
      <c r="L781" s="170"/>
      <c r="M781" s="170"/>
      <c r="N781" s="170"/>
      <c r="O781" s="173"/>
      <c r="P781" s="170"/>
      <c r="Q781" s="170"/>
      <c r="R781" s="170"/>
      <c r="S781" s="170"/>
    </row>
    <row r="782" spans="1:19">
      <c r="A782" s="176"/>
      <c r="B782" s="166"/>
      <c r="C782" s="166"/>
      <c r="D782" s="175"/>
      <c r="G782" s="170"/>
      <c r="H782" s="174"/>
      <c r="I782" s="175"/>
      <c r="J782" s="170"/>
      <c r="K782" s="170"/>
      <c r="L782" s="170"/>
      <c r="M782" s="170"/>
      <c r="N782" s="170"/>
      <c r="O782" s="173"/>
      <c r="P782" s="170"/>
      <c r="Q782" s="170"/>
      <c r="R782" s="170"/>
      <c r="S782" s="170"/>
    </row>
    <row r="783" spans="1:19">
      <c r="A783" s="176"/>
      <c r="B783" s="166"/>
      <c r="C783" s="166"/>
      <c r="D783" s="175"/>
      <c r="G783" s="170"/>
      <c r="H783" s="174"/>
      <c r="I783" s="175"/>
      <c r="J783" s="170"/>
      <c r="K783" s="170"/>
      <c r="L783" s="170"/>
      <c r="M783" s="170"/>
      <c r="N783" s="170"/>
      <c r="O783" s="173"/>
      <c r="P783" s="170"/>
      <c r="Q783" s="170"/>
      <c r="R783" s="170"/>
      <c r="S783" s="170"/>
    </row>
    <row r="784" spans="1:19">
      <c r="A784" s="176"/>
      <c r="B784" s="166"/>
      <c r="C784" s="166"/>
      <c r="D784" s="175"/>
      <c r="G784" s="170"/>
      <c r="H784" s="174"/>
      <c r="I784" s="175"/>
      <c r="J784" s="170"/>
      <c r="K784" s="170"/>
      <c r="L784" s="170"/>
      <c r="M784" s="170"/>
      <c r="N784" s="170"/>
      <c r="O784" s="173"/>
      <c r="P784" s="170"/>
      <c r="Q784" s="170"/>
      <c r="R784" s="170"/>
      <c r="S784" s="170"/>
    </row>
    <row r="785" spans="1:19">
      <c r="A785" s="176"/>
      <c r="B785" s="166"/>
      <c r="C785" s="166"/>
      <c r="D785" s="175"/>
      <c r="G785" s="170"/>
      <c r="H785" s="174"/>
      <c r="I785" s="175"/>
      <c r="J785" s="170"/>
      <c r="K785" s="170"/>
      <c r="L785" s="170"/>
      <c r="M785" s="170"/>
      <c r="N785" s="170"/>
      <c r="O785" s="173"/>
      <c r="P785" s="170"/>
      <c r="Q785" s="170"/>
      <c r="R785" s="170"/>
      <c r="S785" s="170"/>
    </row>
    <row r="786" spans="1:19">
      <c r="A786" s="176"/>
      <c r="B786" s="166"/>
      <c r="C786" s="166"/>
      <c r="D786" s="175"/>
      <c r="G786" s="170"/>
      <c r="H786" s="174"/>
      <c r="I786" s="175"/>
      <c r="J786" s="170"/>
      <c r="K786" s="170"/>
      <c r="L786" s="170"/>
      <c r="M786" s="170"/>
      <c r="N786" s="170"/>
      <c r="O786" s="173"/>
      <c r="P786" s="170"/>
      <c r="Q786" s="170"/>
      <c r="R786" s="170"/>
      <c r="S786" s="170"/>
    </row>
    <row r="787" spans="1:19">
      <c r="A787" s="176"/>
      <c r="B787" s="166"/>
      <c r="C787" s="166"/>
      <c r="D787" s="175"/>
      <c r="G787" s="170"/>
      <c r="H787" s="174"/>
      <c r="I787" s="175"/>
      <c r="J787" s="170"/>
      <c r="K787" s="170"/>
      <c r="L787" s="170"/>
      <c r="M787" s="170"/>
      <c r="N787" s="170"/>
      <c r="O787" s="173"/>
      <c r="P787" s="170"/>
      <c r="Q787" s="170"/>
      <c r="R787" s="170"/>
      <c r="S787" s="170"/>
    </row>
    <row r="788" spans="1:19">
      <c r="A788" s="176"/>
      <c r="B788" s="166"/>
      <c r="C788" s="166"/>
      <c r="D788" s="175"/>
      <c r="G788" s="170"/>
      <c r="H788" s="174"/>
      <c r="I788" s="175"/>
      <c r="J788" s="170"/>
      <c r="K788" s="170"/>
      <c r="L788" s="170"/>
      <c r="M788" s="170"/>
      <c r="N788" s="170"/>
      <c r="O788" s="173"/>
      <c r="P788" s="170"/>
      <c r="Q788" s="170"/>
      <c r="R788" s="170"/>
      <c r="S788" s="170"/>
    </row>
    <row r="789" spans="1:19">
      <c r="A789" s="176"/>
      <c r="B789" s="166"/>
      <c r="C789" s="166"/>
      <c r="D789" s="175"/>
      <c r="G789" s="170"/>
      <c r="H789" s="174"/>
      <c r="I789" s="175"/>
      <c r="J789" s="170"/>
      <c r="K789" s="170"/>
      <c r="L789" s="170"/>
      <c r="M789" s="170"/>
      <c r="N789" s="170"/>
      <c r="O789" s="173"/>
      <c r="P789" s="170"/>
      <c r="Q789" s="170"/>
      <c r="R789" s="170"/>
      <c r="S789" s="170"/>
    </row>
    <row r="790" spans="1:19">
      <c r="A790" s="176"/>
      <c r="B790" s="166"/>
      <c r="C790" s="166"/>
      <c r="D790" s="175"/>
      <c r="G790" s="170"/>
      <c r="H790" s="174"/>
      <c r="I790" s="175"/>
      <c r="J790" s="170"/>
      <c r="K790" s="170"/>
      <c r="L790" s="170"/>
      <c r="M790" s="170"/>
      <c r="N790" s="170"/>
      <c r="O790" s="173"/>
      <c r="P790" s="170"/>
      <c r="Q790" s="170"/>
      <c r="R790" s="170"/>
      <c r="S790" s="170"/>
    </row>
    <row r="791" spans="1:19">
      <c r="A791" s="176"/>
      <c r="B791" s="166"/>
      <c r="C791" s="166"/>
      <c r="D791" s="175"/>
      <c r="G791" s="170"/>
      <c r="H791" s="174"/>
      <c r="I791" s="175"/>
      <c r="J791" s="170"/>
      <c r="K791" s="170"/>
      <c r="L791" s="170"/>
      <c r="M791" s="170"/>
      <c r="N791" s="170"/>
      <c r="O791" s="173"/>
      <c r="P791" s="170"/>
      <c r="Q791" s="170"/>
      <c r="R791" s="170"/>
      <c r="S791" s="170"/>
    </row>
    <row r="792" spans="1:19">
      <c r="A792" s="176"/>
      <c r="B792" s="166"/>
      <c r="C792" s="166"/>
      <c r="D792" s="175"/>
      <c r="G792" s="170"/>
      <c r="H792" s="174"/>
      <c r="I792" s="175"/>
      <c r="J792" s="170"/>
      <c r="K792" s="170"/>
      <c r="L792" s="170"/>
      <c r="M792" s="170"/>
      <c r="N792" s="170"/>
      <c r="O792" s="173"/>
      <c r="P792" s="170"/>
      <c r="Q792" s="170"/>
      <c r="R792" s="170"/>
      <c r="S792" s="170"/>
    </row>
    <row r="793" spans="1:19">
      <c r="A793" s="176"/>
      <c r="B793" s="166"/>
      <c r="C793" s="166"/>
      <c r="D793" s="175"/>
      <c r="G793" s="170"/>
      <c r="H793" s="174"/>
      <c r="I793" s="175"/>
      <c r="J793" s="170"/>
      <c r="K793" s="170"/>
      <c r="L793" s="170"/>
      <c r="M793" s="170"/>
      <c r="N793" s="170"/>
      <c r="O793" s="173"/>
      <c r="P793" s="170"/>
      <c r="Q793" s="170"/>
      <c r="R793" s="170"/>
      <c r="S793" s="170"/>
    </row>
    <row r="794" spans="1:19">
      <c r="A794" s="176"/>
      <c r="B794" s="166"/>
      <c r="C794" s="166"/>
      <c r="D794" s="175"/>
      <c r="G794" s="170"/>
      <c r="H794" s="174"/>
      <c r="I794" s="175"/>
      <c r="J794" s="170"/>
      <c r="K794" s="170"/>
      <c r="L794" s="170"/>
      <c r="M794" s="170"/>
      <c r="N794" s="170"/>
      <c r="O794" s="173"/>
      <c r="P794" s="170"/>
      <c r="Q794" s="170"/>
      <c r="R794" s="170"/>
      <c r="S794" s="170"/>
    </row>
    <row r="795" spans="1:19">
      <c r="A795" s="176"/>
      <c r="B795" s="166"/>
      <c r="C795" s="166"/>
      <c r="D795" s="175"/>
      <c r="G795" s="170"/>
      <c r="H795" s="174"/>
      <c r="I795" s="175"/>
      <c r="J795" s="170"/>
      <c r="K795" s="170"/>
      <c r="L795" s="170"/>
      <c r="M795" s="170"/>
      <c r="N795" s="170"/>
      <c r="O795" s="173"/>
      <c r="P795" s="170"/>
      <c r="Q795" s="170"/>
      <c r="R795" s="170"/>
      <c r="S795" s="170"/>
    </row>
    <row r="796" spans="1:19">
      <c r="A796" s="176"/>
      <c r="B796" s="166"/>
      <c r="C796" s="166"/>
      <c r="D796" s="175"/>
      <c r="G796" s="170"/>
      <c r="H796" s="174"/>
      <c r="I796" s="175"/>
      <c r="J796" s="170"/>
      <c r="K796" s="170"/>
      <c r="L796" s="170"/>
      <c r="M796" s="170"/>
      <c r="N796" s="170"/>
      <c r="O796" s="173"/>
      <c r="P796" s="170"/>
      <c r="Q796" s="170"/>
      <c r="R796" s="170"/>
      <c r="S796" s="170"/>
    </row>
    <row r="797" spans="1:19">
      <c r="A797" s="176"/>
      <c r="B797" s="166"/>
      <c r="C797" s="166"/>
      <c r="D797" s="175"/>
      <c r="G797" s="170"/>
      <c r="H797" s="174"/>
      <c r="I797" s="175"/>
      <c r="J797" s="170"/>
      <c r="K797" s="170"/>
      <c r="L797" s="170"/>
      <c r="M797" s="170"/>
      <c r="N797" s="170"/>
      <c r="O797" s="173"/>
      <c r="P797" s="170"/>
      <c r="Q797" s="170"/>
      <c r="R797" s="170"/>
      <c r="S797" s="170"/>
    </row>
    <row r="798" spans="1:19">
      <c r="A798" s="176"/>
      <c r="B798" s="166"/>
      <c r="C798" s="166"/>
      <c r="D798" s="175"/>
      <c r="G798" s="170"/>
      <c r="H798" s="174"/>
      <c r="I798" s="175"/>
      <c r="J798" s="170"/>
      <c r="K798" s="170"/>
      <c r="L798" s="170"/>
      <c r="M798" s="170"/>
      <c r="N798" s="170"/>
      <c r="O798" s="173"/>
      <c r="P798" s="170"/>
      <c r="Q798" s="170"/>
      <c r="R798" s="170"/>
      <c r="S798" s="170"/>
    </row>
    <row r="799" spans="1:19">
      <c r="A799" s="176"/>
      <c r="B799" s="166"/>
      <c r="C799" s="166"/>
      <c r="D799" s="175"/>
      <c r="G799" s="170"/>
      <c r="H799" s="174"/>
      <c r="I799" s="175"/>
      <c r="J799" s="170"/>
      <c r="K799" s="170"/>
      <c r="L799" s="170"/>
      <c r="M799" s="170"/>
      <c r="N799" s="170"/>
      <c r="O799" s="173"/>
      <c r="P799" s="170"/>
      <c r="Q799" s="170"/>
      <c r="R799" s="170"/>
      <c r="S799" s="170"/>
    </row>
    <row r="800" spans="1:19">
      <c r="A800" s="176"/>
      <c r="B800" s="166"/>
      <c r="C800" s="166"/>
      <c r="D800" s="175"/>
      <c r="G800" s="170"/>
      <c r="H800" s="174"/>
      <c r="I800" s="175"/>
      <c r="J800" s="170"/>
      <c r="K800" s="170"/>
      <c r="L800" s="170"/>
      <c r="M800" s="170"/>
      <c r="N800" s="170"/>
      <c r="O800" s="173"/>
      <c r="P800" s="170"/>
      <c r="Q800" s="170"/>
      <c r="R800" s="170"/>
      <c r="S800" s="170"/>
    </row>
    <row r="801" spans="1:19">
      <c r="A801" s="176"/>
      <c r="B801" s="166"/>
      <c r="C801" s="166"/>
      <c r="D801" s="175"/>
      <c r="G801" s="170"/>
      <c r="H801" s="174"/>
      <c r="I801" s="175"/>
      <c r="J801" s="170"/>
      <c r="K801" s="170"/>
      <c r="L801" s="170"/>
      <c r="M801" s="170"/>
      <c r="N801" s="170"/>
      <c r="O801" s="173"/>
      <c r="P801" s="170"/>
      <c r="Q801" s="170"/>
      <c r="R801" s="170"/>
      <c r="S801" s="170"/>
    </row>
    <row r="802" spans="1:19">
      <c r="A802" s="176"/>
      <c r="B802" s="166"/>
      <c r="C802" s="166"/>
      <c r="D802" s="175"/>
      <c r="G802" s="170"/>
      <c r="H802" s="174"/>
      <c r="I802" s="175"/>
      <c r="J802" s="170"/>
      <c r="K802" s="170"/>
      <c r="L802" s="170"/>
      <c r="M802" s="170"/>
      <c r="N802" s="170"/>
      <c r="O802" s="173"/>
      <c r="P802" s="170"/>
      <c r="Q802" s="170"/>
      <c r="R802" s="170"/>
      <c r="S802" s="170"/>
    </row>
    <row r="803" spans="1:19">
      <c r="A803" s="176"/>
      <c r="B803" s="166"/>
      <c r="C803" s="166"/>
      <c r="D803" s="175"/>
      <c r="G803" s="170"/>
      <c r="H803" s="174"/>
      <c r="I803" s="175"/>
      <c r="J803" s="170"/>
      <c r="K803" s="170"/>
      <c r="L803" s="170"/>
      <c r="M803" s="170"/>
      <c r="N803" s="170"/>
      <c r="O803" s="173"/>
      <c r="P803" s="170"/>
      <c r="Q803" s="170"/>
      <c r="R803" s="170"/>
      <c r="S803" s="170"/>
    </row>
    <row r="804" spans="1:19">
      <c r="A804" s="176"/>
      <c r="B804" s="166"/>
      <c r="C804" s="166"/>
      <c r="D804" s="175"/>
      <c r="G804" s="170"/>
      <c r="H804" s="174"/>
      <c r="I804" s="175"/>
      <c r="J804" s="170"/>
      <c r="K804" s="170"/>
      <c r="L804" s="170"/>
      <c r="M804" s="170"/>
      <c r="N804" s="170"/>
      <c r="O804" s="173"/>
      <c r="P804" s="170"/>
      <c r="Q804" s="170"/>
      <c r="R804" s="170"/>
      <c r="S804" s="170"/>
    </row>
    <row r="805" spans="1:19">
      <c r="A805" s="176"/>
      <c r="B805" s="166"/>
      <c r="C805" s="166"/>
      <c r="D805" s="175"/>
      <c r="G805" s="170"/>
      <c r="H805" s="174"/>
      <c r="I805" s="175"/>
      <c r="J805" s="170"/>
      <c r="K805" s="170"/>
      <c r="L805" s="170"/>
      <c r="M805" s="170"/>
      <c r="N805" s="170"/>
      <c r="O805" s="173"/>
      <c r="P805" s="170"/>
      <c r="Q805" s="170"/>
      <c r="R805" s="170"/>
      <c r="S805" s="170"/>
    </row>
    <row r="806" spans="1:19">
      <c r="A806" s="176"/>
      <c r="B806" s="166"/>
      <c r="C806" s="166"/>
      <c r="D806" s="175"/>
      <c r="G806" s="170"/>
      <c r="H806" s="174"/>
      <c r="I806" s="175"/>
      <c r="J806" s="170"/>
      <c r="K806" s="170"/>
      <c r="L806" s="170"/>
      <c r="M806" s="170"/>
      <c r="N806" s="170"/>
      <c r="O806" s="173"/>
      <c r="P806" s="170"/>
      <c r="Q806" s="170"/>
      <c r="R806" s="170"/>
      <c r="S806" s="170"/>
    </row>
    <row r="807" spans="1:19">
      <c r="A807" s="176"/>
      <c r="B807" s="166"/>
      <c r="C807" s="166"/>
      <c r="D807" s="175"/>
      <c r="G807" s="170"/>
      <c r="H807" s="174"/>
      <c r="I807" s="175"/>
      <c r="J807" s="170"/>
      <c r="K807" s="170"/>
      <c r="L807" s="170"/>
      <c r="M807" s="170"/>
      <c r="N807" s="170"/>
      <c r="O807" s="173"/>
      <c r="P807" s="170"/>
      <c r="Q807" s="170"/>
      <c r="R807" s="170"/>
      <c r="S807" s="170"/>
    </row>
    <row r="808" spans="1:19">
      <c r="A808" s="176"/>
      <c r="B808" s="166"/>
      <c r="C808" s="166"/>
      <c r="D808" s="175"/>
      <c r="G808" s="170"/>
      <c r="H808" s="174"/>
      <c r="I808" s="175"/>
      <c r="J808" s="170"/>
      <c r="K808" s="170"/>
      <c r="L808" s="170"/>
      <c r="M808" s="170"/>
      <c r="N808" s="170"/>
      <c r="O808" s="173"/>
      <c r="P808" s="170"/>
      <c r="Q808" s="170"/>
      <c r="R808" s="170"/>
      <c r="S808" s="170"/>
    </row>
    <row r="809" spans="1:19">
      <c r="A809" s="176"/>
      <c r="B809" s="166"/>
      <c r="C809" s="166"/>
      <c r="D809" s="166"/>
      <c r="G809" s="170"/>
      <c r="H809" s="174"/>
      <c r="I809" s="175"/>
      <c r="J809" s="170"/>
      <c r="K809" s="170"/>
      <c r="L809" s="170"/>
      <c r="M809" s="170"/>
      <c r="N809" s="170"/>
      <c r="O809" s="173"/>
      <c r="P809" s="170"/>
      <c r="Q809" s="170"/>
      <c r="R809" s="170"/>
      <c r="S809" s="170"/>
    </row>
    <row r="810" spans="1:19">
      <c r="A810" s="176"/>
      <c r="B810" s="166"/>
      <c r="C810" s="166"/>
      <c r="D810" s="166"/>
      <c r="G810" s="170"/>
      <c r="H810" s="174"/>
      <c r="I810" s="175"/>
      <c r="J810" s="170"/>
      <c r="K810" s="170"/>
      <c r="L810" s="170"/>
      <c r="M810" s="170"/>
      <c r="N810" s="170"/>
      <c r="O810" s="173"/>
      <c r="P810" s="170"/>
      <c r="Q810" s="170"/>
      <c r="R810" s="170"/>
      <c r="S810" s="170"/>
    </row>
    <row r="811" spans="1:19">
      <c r="A811" s="176"/>
      <c r="B811" s="166"/>
      <c r="C811" s="166"/>
      <c r="D811" s="166"/>
      <c r="G811" s="170"/>
      <c r="H811" s="174"/>
      <c r="I811" s="175"/>
      <c r="J811" s="170"/>
      <c r="K811" s="170"/>
      <c r="L811" s="170"/>
      <c r="M811" s="170"/>
      <c r="N811" s="170"/>
      <c r="O811" s="173"/>
      <c r="P811" s="170"/>
      <c r="Q811" s="170"/>
      <c r="R811" s="170"/>
      <c r="S811" s="170"/>
    </row>
    <row r="812" spans="1:19">
      <c r="A812" s="176"/>
      <c r="B812" s="166"/>
      <c r="C812" s="166"/>
      <c r="D812" s="166"/>
      <c r="G812" s="170"/>
      <c r="H812" s="174"/>
      <c r="I812" s="175"/>
      <c r="J812" s="170"/>
      <c r="K812" s="170"/>
      <c r="L812" s="170"/>
      <c r="M812" s="170"/>
      <c r="N812" s="170"/>
      <c r="O812" s="173"/>
      <c r="P812" s="170"/>
      <c r="Q812" s="170"/>
      <c r="R812" s="170"/>
      <c r="S812" s="170"/>
    </row>
    <row r="813" spans="1:19">
      <c r="A813" s="176"/>
      <c r="B813" s="166"/>
      <c r="C813" s="166"/>
      <c r="D813" s="166"/>
      <c r="G813" s="170"/>
      <c r="H813" s="174"/>
      <c r="I813" s="175"/>
      <c r="J813" s="170"/>
      <c r="K813" s="170"/>
      <c r="L813" s="170"/>
      <c r="M813" s="170"/>
      <c r="N813" s="170"/>
      <c r="O813" s="173"/>
      <c r="P813" s="170"/>
      <c r="Q813" s="170"/>
      <c r="R813" s="170"/>
      <c r="S813" s="170"/>
    </row>
    <row r="814" spans="1:19">
      <c r="A814" s="176"/>
      <c r="B814" s="166"/>
      <c r="C814" s="166"/>
      <c r="D814" s="166"/>
      <c r="G814" s="170"/>
      <c r="H814" s="174"/>
      <c r="I814" s="175"/>
      <c r="J814" s="170"/>
      <c r="K814" s="170"/>
      <c r="L814" s="170"/>
      <c r="M814" s="170"/>
      <c r="N814" s="170"/>
      <c r="O814" s="173"/>
      <c r="P814" s="170"/>
      <c r="Q814" s="170"/>
      <c r="R814" s="170"/>
      <c r="S814" s="170"/>
    </row>
    <row r="815" spans="1:19">
      <c r="A815" s="176"/>
      <c r="B815" s="166"/>
      <c r="C815" s="166"/>
      <c r="D815" s="166"/>
      <c r="G815" s="170"/>
      <c r="H815" s="174"/>
      <c r="I815" s="175"/>
      <c r="J815" s="170"/>
      <c r="K815" s="170"/>
      <c r="L815" s="170"/>
      <c r="M815" s="170"/>
      <c r="N815" s="170"/>
      <c r="O815" s="173"/>
      <c r="P815" s="170"/>
      <c r="Q815" s="170"/>
      <c r="R815" s="170"/>
      <c r="S815" s="170"/>
    </row>
    <row r="816" spans="1:19">
      <c r="A816" s="176"/>
      <c r="B816" s="166"/>
      <c r="C816" s="166"/>
      <c r="D816" s="166"/>
      <c r="G816" s="170"/>
      <c r="H816" s="174"/>
      <c r="I816" s="175"/>
      <c r="J816" s="170"/>
      <c r="K816" s="170"/>
      <c r="L816" s="170"/>
      <c r="M816" s="170"/>
      <c r="N816" s="170"/>
      <c r="O816" s="173"/>
      <c r="P816" s="170"/>
      <c r="Q816" s="170"/>
      <c r="R816" s="170"/>
      <c r="S816" s="170"/>
    </row>
    <row r="817" spans="1:19">
      <c r="A817" s="176"/>
      <c r="B817" s="166"/>
      <c r="C817" s="166"/>
      <c r="D817" s="166"/>
      <c r="G817" s="170"/>
      <c r="H817" s="174"/>
      <c r="I817" s="175"/>
      <c r="J817" s="170"/>
      <c r="K817" s="170"/>
      <c r="L817" s="170"/>
      <c r="M817" s="170"/>
      <c r="N817" s="170"/>
      <c r="O817" s="173"/>
      <c r="P817" s="170"/>
      <c r="Q817" s="170"/>
      <c r="R817" s="170"/>
      <c r="S817" s="170"/>
    </row>
    <row r="818" spans="1:19">
      <c r="A818" s="176"/>
      <c r="B818" s="166"/>
      <c r="C818" s="166"/>
      <c r="D818" s="166"/>
      <c r="G818" s="170"/>
      <c r="H818" s="174"/>
      <c r="I818" s="175"/>
      <c r="J818" s="170"/>
      <c r="K818" s="170"/>
      <c r="L818" s="170"/>
      <c r="M818" s="170"/>
      <c r="N818" s="170"/>
      <c r="O818" s="173"/>
      <c r="P818" s="170"/>
      <c r="Q818" s="170"/>
      <c r="R818" s="170"/>
      <c r="S818" s="170"/>
    </row>
    <row r="819" spans="1:19">
      <c r="A819" s="166"/>
      <c r="B819" s="166"/>
      <c r="C819" s="166"/>
      <c r="D819" s="166"/>
      <c r="G819" s="170"/>
      <c r="H819" s="174"/>
      <c r="I819" s="175"/>
      <c r="J819" s="170"/>
      <c r="K819" s="170"/>
      <c r="L819" s="170"/>
      <c r="M819" s="170"/>
      <c r="N819" s="170"/>
      <c r="O819" s="173"/>
      <c r="P819" s="170"/>
      <c r="Q819" s="170"/>
      <c r="R819" s="170"/>
      <c r="S819" s="170"/>
    </row>
    <row r="820" spans="1:19">
      <c r="A820" s="166"/>
      <c r="B820" s="166"/>
      <c r="C820" s="166"/>
      <c r="D820" s="166"/>
      <c r="G820" s="170"/>
      <c r="H820" s="174"/>
      <c r="I820" s="175"/>
      <c r="J820" s="170"/>
      <c r="K820" s="170"/>
      <c r="L820" s="170"/>
      <c r="M820" s="170"/>
      <c r="N820" s="170"/>
      <c r="O820" s="173"/>
      <c r="P820" s="170"/>
      <c r="Q820" s="170"/>
      <c r="R820" s="170"/>
      <c r="S820" s="170"/>
    </row>
    <row r="821" spans="1:19">
      <c r="A821" s="166"/>
      <c r="B821" s="166"/>
      <c r="C821" s="166"/>
      <c r="D821" s="166"/>
      <c r="G821" s="170"/>
      <c r="H821" s="174"/>
      <c r="I821" s="175"/>
      <c r="J821" s="170"/>
      <c r="K821" s="170"/>
      <c r="L821" s="170"/>
      <c r="M821" s="170"/>
      <c r="N821" s="170"/>
      <c r="O821" s="173"/>
      <c r="P821" s="170"/>
      <c r="Q821" s="170"/>
      <c r="R821" s="170"/>
      <c r="S821" s="170"/>
    </row>
    <row r="822" spans="1:19">
      <c r="A822" s="166"/>
      <c r="B822" s="166"/>
      <c r="C822" s="166"/>
      <c r="D822" s="166"/>
      <c r="G822" s="170"/>
      <c r="H822" s="174"/>
      <c r="I822" s="175"/>
      <c r="J822" s="170"/>
      <c r="K822" s="170"/>
      <c r="L822" s="170"/>
      <c r="M822" s="170"/>
      <c r="N822" s="170"/>
      <c r="O822" s="173"/>
      <c r="P822" s="170"/>
      <c r="Q822" s="170"/>
      <c r="R822" s="170"/>
      <c r="S822" s="170"/>
    </row>
    <row r="823" spans="1:19">
      <c r="A823" s="166"/>
      <c r="B823" s="166"/>
      <c r="C823" s="166"/>
      <c r="D823" s="166"/>
      <c r="G823" s="170"/>
      <c r="H823" s="174"/>
      <c r="I823" s="175"/>
      <c r="J823" s="170"/>
      <c r="K823" s="170"/>
      <c r="L823" s="170"/>
      <c r="M823" s="170"/>
      <c r="N823" s="170"/>
      <c r="O823" s="173"/>
      <c r="P823" s="170"/>
      <c r="Q823" s="170"/>
      <c r="R823" s="170"/>
      <c r="S823" s="170"/>
    </row>
    <row r="824" spans="1:19">
      <c r="A824" s="166"/>
      <c r="B824" s="166"/>
      <c r="C824" s="166"/>
      <c r="D824" s="166"/>
      <c r="G824" s="170"/>
      <c r="H824" s="174"/>
      <c r="I824" s="175"/>
      <c r="J824" s="170"/>
      <c r="K824" s="170"/>
      <c r="L824" s="170"/>
      <c r="M824" s="170"/>
      <c r="N824" s="170"/>
      <c r="O824" s="173"/>
      <c r="P824" s="170"/>
      <c r="Q824" s="170"/>
      <c r="R824" s="170"/>
      <c r="S824" s="170"/>
    </row>
    <row r="825" spans="1:19">
      <c r="A825" s="166"/>
      <c r="B825" s="166"/>
      <c r="C825" s="166"/>
      <c r="D825" s="166"/>
      <c r="G825" s="170"/>
      <c r="H825" s="174"/>
      <c r="I825" s="175"/>
      <c r="J825" s="170"/>
      <c r="K825" s="170"/>
      <c r="L825" s="170"/>
      <c r="M825" s="170"/>
      <c r="N825" s="170"/>
      <c r="O825" s="173"/>
      <c r="P825" s="170"/>
      <c r="Q825" s="170"/>
      <c r="R825" s="170"/>
      <c r="S825" s="170"/>
    </row>
    <row r="826" spans="1:19">
      <c r="A826" s="166"/>
      <c r="B826" s="166"/>
      <c r="C826" s="166"/>
      <c r="D826" s="166"/>
      <c r="G826" s="170"/>
      <c r="H826" s="174"/>
      <c r="I826" s="175"/>
      <c r="J826" s="170"/>
      <c r="K826" s="170"/>
      <c r="L826" s="170"/>
      <c r="M826" s="170"/>
      <c r="N826" s="170"/>
      <c r="O826" s="173"/>
      <c r="P826" s="170"/>
      <c r="Q826" s="170"/>
      <c r="R826" s="170"/>
      <c r="S826" s="170"/>
    </row>
    <row r="827" spans="1:19">
      <c r="A827" s="166"/>
      <c r="B827" s="166"/>
      <c r="C827" s="166"/>
      <c r="D827" s="166"/>
      <c r="G827" s="170"/>
      <c r="H827" s="174"/>
      <c r="I827" s="175"/>
      <c r="J827" s="170"/>
      <c r="K827" s="170"/>
      <c r="L827" s="170"/>
      <c r="M827" s="170"/>
      <c r="N827" s="170"/>
      <c r="O827" s="173"/>
      <c r="P827" s="170"/>
      <c r="Q827" s="170"/>
      <c r="R827" s="170"/>
      <c r="S827" s="170"/>
    </row>
    <row r="828" spans="1:19">
      <c r="A828" s="166"/>
      <c r="B828" s="166"/>
      <c r="C828" s="166"/>
      <c r="D828" s="166"/>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5"/>
  <sheetViews>
    <sheetView showGridLines="0" showZeros="0" tabSelected="1" zoomScale="90" zoomScaleNormal="90" zoomScaleSheetLayoutView="90" workbookViewId="0">
      <selection activeCell="A103" sqref="A103"/>
    </sheetView>
  </sheetViews>
  <sheetFormatPr baseColWidth="10" defaultColWidth="11.42578125" defaultRowHeight="20.100000000000001" customHeight="1"/>
  <cols>
    <col min="1" max="1" width="11.140625" style="583" customWidth="1"/>
    <col min="2" max="2" width="19" style="68" customWidth="1"/>
    <col min="3" max="3" width="78.28515625" style="68" customWidth="1"/>
    <col min="4" max="4" width="9.140625" style="99" customWidth="1"/>
    <col min="5" max="5" width="11" style="68" customWidth="1"/>
    <col min="6" max="6" width="15.7109375" style="68" customWidth="1"/>
    <col min="7" max="7" width="55.140625" style="68" customWidth="1"/>
    <col min="8" max="8" width="9.42578125" style="68" customWidth="1"/>
    <col min="9" max="9" width="13.42578125" style="68" customWidth="1"/>
    <col min="10" max="10" width="41" style="70" customWidth="1"/>
    <col min="11" max="11" width="24.85546875" style="68" customWidth="1"/>
    <col min="12" max="16384" width="11.42578125" style="68"/>
  </cols>
  <sheetData>
    <row r="1" spans="1:10" ht="20.100000000000001" customHeight="1">
      <c r="A1" s="662" t="s">
        <v>941</v>
      </c>
      <c r="B1" s="663"/>
      <c r="C1" s="663"/>
      <c r="D1" s="664"/>
      <c r="E1" s="73"/>
      <c r="F1" s="73"/>
      <c r="I1" s="70"/>
      <c r="J1" s="68"/>
    </row>
    <row r="2" spans="1:10" ht="20.100000000000001" customHeight="1">
      <c r="A2" s="67" t="s">
        <v>7</v>
      </c>
      <c r="C2" s="67" t="s">
        <v>2086</v>
      </c>
      <c r="D2" s="67"/>
      <c r="E2" s="67"/>
      <c r="F2" s="67"/>
      <c r="I2" s="70"/>
      <c r="J2" s="68"/>
    </row>
    <row r="3" spans="1:10" s="78" customFormat="1" ht="12.75">
      <c r="A3" s="77" t="s">
        <v>8</v>
      </c>
      <c r="C3" s="605" t="s">
        <v>2087</v>
      </c>
      <c r="D3" s="80"/>
      <c r="E3" s="77"/>
      <c r="F3" s="80"/>
      <c r="I3" s="169"/>
    </row>
    <row r="4" spans="1:10" s="75" customFormat="1" ht="19.5" customHeight="1">
      <c r="A4" s="145" t="s">
        <v>981</v>
      </c>
      <c r="C4" s="146"/>
      <c r="D4" s="5"/>
      <c r="E4" s="79"/>
      <c r="F4" s="75" t="s">
        <v>2061</v>
      </c>
      <c r="I4" s="434"/>
    </row>
    <row r="5" spans="1:10" s="75" customFormat="1" ht="19.5" hidden="1" customHeight="1">
      <c r="A5" s="145" t="s">
        <v>982</v>
      </c>
      <c r="C5" s="146"/>
      <c r="D5" s="5"/>
      <c r="E5" s="5"/>
      <c r="I5" s="434"/>
    </row>
    <row r="6" spans="1:10" s="75" customFormat="1" ht="19.5" hidden="1" customHeight="1">
      <c r="A6" s="145" t="s">
        <v>983</v>
      </c>
      <c r="C6" s="146"/>
      <c r="D6" s="5"/>
      <c r="I6" s="434"/>
    </row>
    <row r="7" spans="1:10" s="75" customFormat="1" ht="19.5" hidden="1" customHeight="1">
      <c r="A7" s="145" t="s">
        <v>984</v>
      </c>
      <c r="C7" s="146"/>
      <c r="D7" s="5"/>
      <c r="I7" s="434"/>
    </row>
    <row r="8" spans="1:10" s="78" customFormat="1" ht="20.100000000000001" customHeight="1">
      <c r="A8" s="77" t="s">
        <v>12</v>
      </c>
      <c r="C8" s="81" t="s">
        <v>2088</v>
      </c>
      <c r="D8" s="80"/>
      <c r="I8" s="169"/>
    </row>
    <row r="9" spans="1:10" s="78" customFormat="1" ht="20.100000000000001" customHeight="1">
      <c r="A9" s="77" t="s">
        <v>11</v>
      </c>
      <c r="C9" s="82"/>
      <c r="E9" s="445"/>
      <c r="F9" s="75" t="s">
        <v>2062</v>
      </c>
      <c r="I9" s="169"/>
    </row>
    <row r="10" spans="1:10" s="78" customFormat="1" ht="20.100000000000001" customHeight="1">
      <c r="A10" s="77" t="s">
        <v>29</v>
      </c>
      <c r="C10" s="83"/>
      <c r="E10" s="5"/>
      <c r="F10" s="75"/>
      <c r="I10" s="169"/>
    </row>
    <row r="11" spans="1:10" s="78" customFormat="1" ht="20.100000000000001" customHeight="1">
      <c r="A11" s="77" t="s">
        <v>14</v>
      </c>
      <c r="C11" s="84">
        <v>252534063</v>
      </c>
      <c r="E11" s="588"/>
      <c r="F11" s="75" t="s">
        <v>2063</v>
      </c>
      <c r="I11" s="169"/>
    </row>
    <row r="12" spans="1:10" s="78" customFormat="1" ht="20.100000000000001" customHeight="1">
      <c r="A12" s="77" t="s">
        <v>892</v>
      </c>
      <c r="C12" s="85">
        <v>0.05</v>
      </c>
      <c r="I12" s="169"/>
    </row>
    <row r="13" spans="1:10" s="78" customFormat="1" ht="20.100000000000001" customHeight="1">
      <c r="A13" s="77" t="s">
        <v>891</v>
      </c>
      <c r="C13" s="86" t="s">
        <v>2089</v>
      </c>
      <c r="I13" s="169"/>
    </row>
    <row r="14" spans="1:10" s="78" customFormat="1" ht="20.100000000000001" customHeight="1">
      <c r="A14" s="77" t="s">
        <v>13</v>
      </c>
      <c r="C14" s="87">
        <v>560</v>
      </c>
      <c r="I14" s="169"/>
    </row>
    <row r="15" spans="1:10" s="78" customFormat="1" ht="20.100000000000001" customHeight="1">
      <c r="A15" s="77"/>
      <c r="B15" s="88"/>
      <c r="I15" s="169"/>
    </row>
    <row r="16" spans="1:10" ht="20.100000000000001" customHeight="1">
      <c r="A16" s="665" t="s">
        <v>942</v>
      </c>
      <c r="B16" s="665"/>
      <c r="C16" s="665"/>
      <c r="D16" s="665"/>
      <c r="E16" s="665"/>
      <c r="F16" s="73"/>
      <c r="I16" s="70"/>
      <c r="J16" s="68"/>
    </row>
    <row r="17" spans="1:11" s="78" customFormat="1" ht="20.100000000000001" customHeight="1">
      <c r="A17" s="77" t="s">
        <v>9</v>
      </c>
      <c r="C17" s="445"/>
      <c r="D17" s="100"/>
      <c r="I17" s="169"/>
    </row>
    <row r="18" spans="1:11" s="75" customFormat="1" ht="20.100000000000001" customHeight="1">
      <c r="A18" s="145" t="s">
        <v>1844</v>
      </c>
      <c r="B18" s="441"/>
      <c r="C18" s="445"/>
      <c r="D18" s="5"/>
      <c r="E18" s="5"/>
      <c r="I18" s="434"/>
    </row>
    <row r="19" spans="1:11" s="75" customFormat="1" ht="20.100000000000001" customHeight="1">
      <c r="A19" s="145" t="s">
        <v>1845</v>
      </c>
      <c r="B19" s="441"/>
      <c r="C19" s="445"/>
      <c r="D19" s="5"/>
      <c r="E19" s="5"/>
      <c r="I19" s="434"/>
    </row>
    <row r="20" spans="1:11" s="75" customFormat="1" ht="20.100000000000001" customHeight="1">
      <c r="A20" s="145" t="s">
        <v>1846</v>
      </c>
      <c r="B20" s="441"/>
      <c r="C20" s="445"/>
      <c r="D20" s="5"/>
      <c r="E20" s="5"/>
      <c r="I20" s="434"/>
      <c r="K20" s="75" t="e">
        <f>MATCH(Datos!B32,T_Datos)</f>
        <v>#N/A</v>
      </c>
    </row>
    <row r="21" spans="1:11" s="75" customFormat="1" ht="20.100000000000001" customHeight="1">
      <c r="A21" s="145" t="s">
        <v>1845</v>
      </c>
      <c r="B21" s="441"/>
      <c r="C21" s="445"/>
      <c r="D21" s="5"/>
      <c r="E21" s="5"/>
      <c r="I21" s="434"/>
    </row>
    <row r="22" spans="1:11" s="75" customFormat="1" ht="20.100000000000001" customHeight="1">
      <c r="A22" s="145" t="s">
        <v>1846</v>
      </c>
      <c r="B22" s="441"/>
      <c r="C22" s="445"/>
      <c r="D22" s="5"/>
      <c r="E22" s="5"/>
      <c r="I22" s="434"/>
      <c r="K22" s="75" t="e">
        <f>MATCH(Datos!B34,T_Datos)</f>
        <v>#N/A</v>
      </c>
    </row>
    <row r="23" spans="1:11" s="75" customFormat="1" ht="20.100000000000001" customHeight="1">
      <c r="A23" s="145" t="s">
        <v>1845</v>
      </c>
      <c r="B23" s="441"/>
      <c r="C23" s="445"/>
      <c r="D23" s="5"/>
      <c r="E23" s="5"/>
      <c r="I23" s="434"/>
    </row>
    <row r="24" spans="1:11" s="75" customFormat="1" ht="20.100000000000001" customHeight="1">
      <c r="A24" s="145" t="s">
        <v>1846</v>
      </c>
      <c r="B24" s="441"/>
      <c r="C24" s="445"/>
      <c r="D24" s="5"/>
      <c r="E24" s="5"/>
      <c r="I24" s="434"/>
    </row>
    <row r="25" spans="1:11" s="75" customFormat="1" ht="20.100000000000001" customHeight="1">
      <c r="A25" s="77" t="s">
        <v>1843</v>
      </c>
      <c r="C25" s="636"/>
      <c r="D25" s="100"/>
      <c r="E25" s="635"/>
      <c r="F25" s="78"/>
      <c r="G25" s="78"/>
      <c r="H25" s="78"/>
      <c r="I25" s="434"/>
    </row>
    <row r="26" spans="1:11" s="75" customFormat="1" ht="20.100000000000001" customHeight="1">
      <c r="A26" s="77" t="s">
        <v>936</v>
      </c>
      <c r="C26" s="636"/>
      <c r="D26" s="101"/>
      <c r="E26" s="635"/>
      <c r="F26" s="98"/>
      <c r="G26" s="68"/>
      <c r="H26" s="68"/>
      <c r="I26" s="434"/>
    </row>
    <row r="27" spans="1:11" s="75" customFormat="1" ht="20.100000000000001" customHeight="1">
      <c r="A27" s="77" t="s">
        <v>935</v>
      </c>
      <c r="B27" s="68"/>
      <c r="C27" s="636"/>
      <c r="D27" s="101"/>
      <c r="E27" s="635"/>
      <c r="F27" s="68"/>
      <c r="G27" s="68"/>
      <c r="H27" s="68"/>
      <c r="I27" s="434"/>
    </row>
    <row r="28" spans="1:11" s="75" customFormat="1" ht="20.100000000000001" customHeight="1">
      <c r="A28" s="77" t="s">
        <v>961</v>
      </c>
      <c r="C28" s="637"/>
      <c r="D28" s="101"/>
      <c r="E28" s="68"/>
      <c r="F28" s="68"/>
      <c r="G28" s="68"/>
      <c r="H28" s="68"/>
      <c r="I28" s="434"/>
    </row>
    <row r="29" spans="1:11" s="75" customFormat="1" ht="20.100000000000001" customHeight="1">
      <c r="A29" s="77" t="s">
        <v>934</v>
      </c>
      <c r="B29" s="68"/>
      <c r="C29" s="638"/>
      <c r="D29" s="101"/>
      <c r="E29" s="68"/>
      <c r="F29" s="68"/>
      <c r="G29" s="68"/>
      <c r="H29" s="68"/>
      <c r="I29" s="434"/>
    </row>
    <row r="30" spans="1:11" ht="20.100000000000001" customHeight="1">
      <c r="A30" s="77" t="s">
        <v>938</v>
      </c>
      <c r="C30" s="587">
        <f>PrecioUnitario(1,Costo_Financiero,Gasto_Generales_Porcentaje,Beneficio,Ingresos_Brutos,IVA)</f>
        <v>1</v>
      </c>
      <c r="I30" s="70"/>
      <c r="J30" s="89"/>
    </row>
    <row r="31" spans="1:11" ht="20.100000000000001" customHeight="1">
      <c r="D31" s="70"/>
      <c r="E31" s="99"/>
      <c r="K31" s="89"/>
    </row>
    <row r="32" spans="1:11" ht="20.100000000000001" customHeight="1">
      <c r="B32" s="662" t="s">
        <v>960</v>
      </c>
      <c r="C32" s="663"/>
      <c r="D32" s="663"/>
      <c r="E32" s="664"/>
      <c r="F32" s="73"/>
      <c r="I32" s="70"/>
      <c r="J32" s="89"/>
    </row>
    <row r="33" spans="1:11" ht="20.100000000000001" customHeight="1">
      <c r="G33" s="661" t="s">
        <v>962</v>
      </c>
      <c r="H33" s="661"/>
      <c r="I33" s="70"/>
      <c r="J33" s="89"/>
    </row>
    <row r="34" spans="1:11" ht="27.75" customHeight="1">
      <c r="B34" s="449" t="s">
        <v>893</v>
      </c>
      <c r="C34" s="446" t="s">
        <v>0</v>
      </c>
      <c r="D34" s="450" t="s">
        <v>1</v>
      </c>
      <c r="E34" s="449" t="s">
        <v>2</v>
      </c>
      <c r="F34" s="104"/>
      <c r="G34" s="449" t="s">
        <v>963</v>
      </c>
      <c r="H34" s="449" t="s">
        <v>1</v>
      </c>
      <c r="I34" s="70"/>
      <c r="J34" s="449" t="s">
        <v>1847</v>
      </c>
    </row>
    <row r="35" spans="1:11" ht="20.100000000000001" customHeight="1">
      <c r="B35" s="65"/>
      <c r="C35" s="440"/>
      <c r="D35" s="102"/>
      <c r="E35" s="65"/>
      <c r="F35" s="104"/>
      <c r="G35" s="599"/>
      <c r="H35" s="599"/>
      <c r="I35" s="70"/>
      <c r="J35" s="68"/>
    </row>
    <row r="36" spans="1:11" ht="20.100000000000001" customHeight="1">
      <c r="A36" s="583">
        <f>IF(D36=0,A35,A35+1)</f>
        <v>1</v>
      </c>
      <c r="B36" s="105">
        <v>1</v>
      </c>
      <c r="C36" s="66" t="str">
        <f t="shared" ref="C36:C67" si="0">IFERROR(VLOOKUP(J36,T_Código_Items,2,FALSE),G36)</f>
        <v>PROYECTO EJECUTIVO</v>
      </c>
      <c r="D36" s="103" t="str">
        <f t="shared" ref="D36:D67" si="1">IFERROR(VLOOKUP(J36,T_Código_Items,3,FALSE),H36)</f>
        <v>gl.</v>
      </c>
      <c r="E36" s="585">
        <v>1</v>
      </c>
      <c r="F36" s="141"/>
      <c r="G36" s="142" t="s">
        <v>2168</v>
      </c>
      <c r="H36" s="584" t="s">
        <v>2092</v>
      </c>
      <c r="I36" s="70"/>
      <c r="J36" s="68"/>
    </row>
    <row r="37" spans="1:11" ht="20.100000000000001" customHeight="1">
      <c r="A37" s="583">
        <f>IF(D37=0,A36,A36+1)</f>
        <v>1</v>
      </c>
      <c r="B37" s="654">
        <v>2</v>
      </c>
      <c r="C37" s="66" t="str">
        <f t="shared" si="0"/>
        <v>TAREAS GENERALES</v>
      </c>
      <c r="D37" s="103">
        <f t="shared" si="1"/>
        <v>0</v>
      </c>
      <c r="E37" s="586"/>
      <c r="F37" s="143"/>
      <c r="G37" s="142" t="s">
        <v>2090</v>
      </c>
      <c r="H37" s="584"/>
      <c r="I37" s="442"/>
      <c r="J37" s="68"/>
    </row>
    <row r="38" spans="1:11" ht="20.100000000000001" customHeight="1">
      <c r="A38" s="583">
        <f t="shared" ref="A38:A100" si="2">IF(D38=0,A37,A37+1)</f>
        <v>2</v>
      </c>
      <c r="B38" s="652" t="s">
        <v>2170</v>
      </c>
      <c r="C38" s="66" t="str">
        <f t="shared" si="0"/>
        <v>Limpieza inicial y Relevamientos Topograficos</v>
      </c>
      <c r="D38" s="103" t="str">
        <f t="shared" si="1"/>
        <v>gl.</v>
      </c>
      <c r="E38" s="586">
        <v>1</v>
      </c>
      <c r="F38" s="143"/>
      <c r="G38" s="142" t="s">
        <v>2091</v>
      </c>
      <c r="H38" s="584" t="s">
        <v>2092</v>
      </c>
      <c r="I38" s="443"/>
      <c r="J38" s="68"/>
    </row>
    <row r="39" spans="1:11" ht="20.100000000000001" customHeight="1">
      <c r="A39" s="583">
        <f t="shared" si="2"/>
        <v>3</v>
      </c>
      <c r="B39" s="652" t="s">
        <v>2171</v>
      </c>
      <c r="C39" s="66" t="str">
        <f t="shared" si="0"/>
        <v>Replanteo y Ajustes</v>
      </c>
      <c r="D39" s="103" t="str">
        <f t="shared" si="1"/>
        <v>gl.</v>
      </c>
      <c r="E39" s="586">
        <v>1</v>
      </c>
      <c r="F39" s="143"/>
      <c r="G39" s="142" t="s">
        <v>2093</v>
      </c>
      <c r="H39" s="584" t="s">
        <v>2092</v>
      </c>
      <c r="I39" s="70"/>
      <c r="J39" s="68"/>
    </row>
    <row r="40" spans="1:11" ht="20.100000000000001" customHeight="1">
      <c r="A40" s="583">
        <f t="shared" si="2"/>
        <v>3</v>
      </c>
      <c r="B40" s="654">
        <v>3</v>
      </c>
      <c r="C40" s="66" t="str">
        <f t="shared" si="0"/>
        <v>AZUD PACHIMOCO</v>
      </c>
      <c r="D40" s="103">
        <f t="shared" si="1"/>
        <v>0</v>
      </c>
      <c r="E40" s="586"/>
      <c r="F40" s="143"/>
      <c r="G40" s="142" t="s">
        <v>2094</v>
      </c>
      <c r="H40" s="584"/>
      <c r="I40" s="444"/>
      <c r="J40" s="166"/>
    </row>
    <row r="41" spans="1:11" ht="20.100000000000001" customHeight="1">
      <c r="A41" s="583">
        <f t="shared" si="2"/>
        <v>3</v>
      </c>
      <c r="B41" s="652" t="s">
        <v>2169</v>
      </c>
      <c r="C41" s="66" t="str">
        <f t="shared" si="0"/>
        <v>Compuertas Frontales</v>
      </c>
      <c r="D41" s="103">
        <f t="shared" si="1"/>
        <v>0</v>
      </c>
      <c r="E41" s="586"/>
      <c r="F41" s="143"/>
      <c r="G41" s="142" t="s">
        <v>2095</v>
      </c>
      <c r="H41" s="584"/>
      <c r="I41" s="444"/>
      <c r="J41" s="68"/>
    </row>
    <row r="42" spans="1:11" ht="20.100000000000001" customHeight="1">
      <c r="A42" s="583">
        <f t="shared" si="2"/>
        <v>4</v>
      </c>
      <c r="B42" s="652" t="s">
        <v>2113</v>
      </c>
      <c r="C42" s="66" t="str">
        <f t="shared" si="0"/>
        <v>Reemplazo de compuertas frontales azud</v>
      </c>
      <c r="D42" s="103" t="str">
        <f t="shared" si="1"/>
        <v>gl.</v>
      </c>
      <c r="E42" s="586">
        <v>2</v>
      </c>
      <c r="F42" s="143"/>
      <c r="G42" s="142" t="s">
        <v>2096</v>
      </c>
      <c r="H42" s="584" t="s">
        <v>2092</v>
      </c>
      <c r="I42" s="444"/>
      <c r="J42" s="68"/>
      <c r="K42" s="90"/>
    </row>
    <row r="43" spans="1:11" ht="20.100000000000001" customHeight="1">
      <c r="A43" s="583">
        <f t="shared" si="2"/>
        <v>5</v>
      </c>
      <c r="B43" s="652" t="s">
        <v>2114</v>
      </c>
      <c r="C43" s="66" t="str">
        <f t="shared" si="0"/>
        <v>Motorizacion/Electrificacion compuertas frontales azud</v>
      </c>
      <c r="D43" s="103" t="str">
        <f t="shared" si="1"/>
        <v>gl.</v>
      </c>
      <c r="E43" s="586">
        <v>1</v>
      </c>
      <c r="F43" s="143"/>
      <c r="G43" s="142" t="s">
        <v>2097</v>
      </c>
      <c r="H43" s="584" t="s">
        <v>2092</v>
      </c>
      <c r="I43" s="444"/>
      <c r="J43" s="68"/>
      <c r="K43" s="90"/>
    </row>
    <row r="44" spans="1:11" ht="20.100000000000001" customHeight="1">
      <c r="A44" s="583">
        <f t="shared" si="2"/>
        <v>6</v>
      </c>
      <c r="B44" s="652" t="s">
        <v>2172</v>
      </c>
      <c r="C44" s="66" t="str">
        <f t="shared" si="0"/>
        <v>Grupo electrógeno 20kVA</v>
      </c>
      <c r="D44" s="103" t="str">
        <f t="shared" si="1"/>
        <v>gl.</v>
      </c>
      <c r="E44" s="586">
        <v>1</v>
      </c>
      <c r="F44" s="143"/>
      <c r="G44" s="142" t="s">
        <v>2098</v>
      </c>
      <c r="H44" s="584" t="s">
        <v>2092</v>
      </c>
      <c r="I44" s="444"/>
      <c r="J44" s="68"/>
      <c r="K44" s="90"/>
    </row>
    <row r="45" spans="1:11" ht="20.100000000000001" customHeight="1">
      <c r="A45" s="583">
        <f t="shared" si="2"/>
        <v>6</v>
      </c>
      <c r="B45" s="652" t="s">
        <v>2173</v>
      </c>
      <c r="C45" s="66" t="str">
        <f t="shared" si="0"/>
        <v>Desripiador Margen Derecha</v>
      </c>
      <c r="D45" s="103">
        <f t="shared" si="1"/>
        <v>0</v>
      </c>
      <c r="E45" s="586"/>
      <c r="F45" s="143"/>
      <c r="G45" s="142" t="s">
        <v>2099</v>
      </c>
      <c r="H45" s="584"/>
      <c r="I45" s="444"/>
      <c r="J45" s="68"/>
      <c r="K45" s="90"/>
    </row>
    <row r="46" spans="1:11" ht="20.100000000000001" customHeight="1">
      <c r="A46" s="583">
        <f t="shared" si="2"/>
        <v>7</v>
      </c>
      <c r="B46" s="652" t="s">
        <v>2174</v>
      </c>
      <c r="C46" s="66" t="str">
        <f t="shared" si="0"/>
        <v>Reemplazo de compuertas desripiador</v>
      </c>
      <c r="D46" s="103" t="str">
        <f t="shared" si="1"/>
        <v>gl.</v>
      </c>
      <c r="E46" s="586">
        <v>2</v>
      </c>
      <c r="F46" s="143"/>
      <c r="G46" s="142" t="s">
        <v>2100</v>
      </c>
      <c r="H46" s="584" t="s">
        <v>2092</v>
      </c>
      <c r="I46" s="444"/>
      <c r="J46" s="68"/>
      <c r="K46" s="90"/>
    </row>
    <row r="47" spans="1:11" ht="20.100000000000001" customHeight="1">
      <c r="A47" s="583">
        <f t="shared" si="2"/>
        <v>7</v>
      </c>
      <c r="B47" s="652" t="s">
        <v>2175</v>
      </c>
      <c r="C47" s="66" t="str">
        <f t="shared" si="0"/>
        <v>Obra de Toma</v>
      </c>
      <c r="D47" s="103">
        <f t="shared" si="1"/>
        <v>0</v>
      </c>
      <c r="E47" s="586"/>
      <c r="F47" s="143"/>
      <c r="G47" s="142" t="s">
        <v>2101</v>
      </c>
      <c r="H47" s="584"/>
      <c r="I47" s="444"/>
      <c r="J47" s="68"/>
      <c r="K47" s="90"/>
    </row>
    <row r="48" spans="1:11" ht="20.100000000000001" customHeight="1">
      <c r="A48" s="583">
        <f t="shared" si="2"/>
        <v>8</v>
      </c>
      <c r="B48" s="652" t="s">
        <v>2176</v>
      </c>
      <c r="C48" s="66" t="str">
        <f t="shared" si="0"/>
        <v>Reemplazo de compuertas obra de toma</v>
      </c>
      <c r="D48" s="103" t="str">
        <f t="shared" si="1"/>
        <v>gl.</v>
      </c>
      <c r="E48" s="586">
        <v>3</v>
      </c>
      <c r="F48" s="143"/>
      <c r="G48" s="142" t="s">
        <v>2102</v>
      </c>
      <c r="H48" s="584" t="s">
        <v>2092</v>
      </c>
      <c r="I48" s="444"/>
      <c r="J48" s="68"/>
      <c r="K48" s="90"/>
    </row>
    <row r="49" spans="1:11" ht="20.100000000000001" customHeight="1">
      <c r="A49" s="583">
        <f t="shared" si="2"/>
        <v>9</v>
      </c>
      <c r="B49" s="652" t="s">
        <v>2177</v>
      </c>
      <c r="C49" s="66" t="str">
        <f t="shared" si="0"/>
        <v>Motorizacion/Electrificacion obra de toma</v>
      </c>
      <c r="D49" s="103" t="str">
        <f t="shared" si="1"/>
        <v>gl.</v>
      </c>
      <c r="E49" s="586">
        <v>3</v>
      </c>
      <c r="F49" s="143"/>
      <c r="G49" s="142" t="s">
        <v>2103</v>
      </c>
      <c r="H49" s="584" t="s">
        <v>2092</v>
      </c>
      <c r="I49" s="444"/>
      <c r="J49" s="68"/>
      <c r="K49" s="90"/>
    </row>
    <row r="50" spans="1:11" ht="20.100000000000001" customHeight="1">
      <c r="A50" s="583">
        <f t="shared" si="2"/>
        <v>9</v>
      </c>
      <c r="B50" s="652" t="s">
        <v>2178</v>
      </c>
      <c r="C50" s="66" t="str">
        <f t="shared" si="0"/>
        <v>Obras Anexas</v>
      </c>
      <c r="D50" s="103">
        <f t="shared" si="1"/>
        <v>0</v>
      </c>
      <c r="E50" s="586"/>
      <c r="F50" s="143"/>
      <c r="G50" s="142" t="s">
        <v>2104</v>
      </c>
      <c r="H50" s="584"/>
      <c r="I50" s="444"/>
      <c r="J50" s="68"/>
      <c r="K50" s="90"/>
    </row>
    <row r="51" spans="1:11" ht="20.100000000000001" customHeight="1">
      <c r="A51" s="583">
        <f t="shared" si="2"/>
        <v>10</v>
      </c>
      <c r="B51" s="652" t="s">
        <v>2179</v>
      </c>
      <c r="C51" s="66" t="str">
        <f t="shared" si="0"/>
        <v>Reacondicionamiento pasarela</v>
      </c>
      <c r="D51" s="103" t="str">
        <f t="shared" si="1"/>
        <v>gl.</v>
      </c>
      <c r="E51" s="586">
        <v>1</v>
      </c>
      <c r="F51" s="143"/>
      <c r="G51" s="142" t="s">
        <v>2105</v>
      </c>
      <c r="H51" s="584" t="s">
        <v>2092</v>
      </c>
      <c r="I51" s="444"/>
      <c r="J51" s="68"/>
      <c r="K51" s="90"/>
    </row>
    <row r="52" spans="1:11" ht="20.100000000000001" customHeight="1">
      <c r="A52" s="583">
        <f t="shared" si="2"/>
        <v>11</v>
      </c>
      <c r="B52" s="652" t="s">
        <v>2180</v>
      </c>
      <c r="C52" s="66" t="str">
        <f t="shared" si="0"/>
        <v>Mantenimiento grupo electrogeno existente</v>
      </c>
      <c r="D52" s="103" t="str">
        <f t="shared" si="1"/>
        <v>gl.</v>
      </c>
      <c r="E52" s="586">
        <v>1</v>
      </c>
      <c r="F52" s="143"/>
      <c r="G52" s="142" t="s">
        <v>2106</v>
      </c>
      <c r="H52" s="584" t="s">
        <v>2092</v>
      </c>
      <c r="I52" s="444"/>
      <c r="J52" s="68"/>
      <c r="K52" s="90"/>
    </row>
    <row r="53" spans="1:11" ht="20.100000000000001" customHeight="1">
      <c r="A53" s="583">
        <f t="shared" si="2"/>
        <v>12</v>
      </c>
      <c r="B53" s="652" t="s">
        <v>2181</v>
      </c>
      <c r="C53" s="66" t="str">
        <f t="shared" si="0"/>
        <v>Pararrayos</v>
      </c>
      <c r="D53" s="103" t="str">
        <f t="shared" si="1"/>
        <v>gl.</v>
      </c>
      <c r="E53" s="586">
        <v>1</v>
      </c>
      <c r="F53" s="143"/>
      <c r="G53" s="142" t="s">
        <v>2107</v>
      </c>
      <c r="H53" s="584" t="s">
        <v>2092</v>
      </c>
      <c r="I53" s="444"/>
      <c r="J53" s="68"/>
      <c r="K53" s="90"/>
    </row>
    <row r="54" spans="1:11" ht="20.100000000000001" customHeight="1">
      <c r="A54" s="583">
        <f t="shared" si="2"/>
        <v>13</v>
      </c>
      <c r="B54" s="652" t="s">
        <v>2182</v>
      </c>
      <c r="C54" s="66" t="str">
        <f t="shared" si="0"/>
        <v>Puesta a tierra</v>
      </c>
      <c r="D54" s="103" t="str">
        <f t="shared" si="1"/>
        <v>gl.</v>
      </c>
      <c r="E54" s="586">
        <v>1</v>
      </c>
      <c r="F54" s="143"/>
      <c r="G54" s="142" t="s">
        <v>2108</v>
      </c>
      <c r="H54" s="584" t="s">
        <v>2092</v>
      </c>
      <c r="I54" s="444"/>
      <c r="J54" s="68"/>
      <c r="K54" s="90"/>
    </row>
    <row r="55" spans="1:11" ht="20.100000000000001" customHeight="1">
      <c r="A55" s="583">
        <f t="shared" si="2"/>
        <v>13</v>
      </c>
      <c r="B55" s="654">
        <v>4</v>
      </c>
      <c r="C55" s="66" t="str">
        <f t="shared" si="0"/>
        <v>DESARENADOR</v>
      </c>
      <c r="D55" s="103">
        <f t="shared" si="1"/>
        <v>0</v>
      </c>
      <c r="E55" s="586"/>
      <c r="F55" s="143"/>
      <c r="G55" s="142" t="s">
        <v>2109</v>
      </c>
      <c r="H55" s="584"/>
      <c r="I55" s="444"/>
      <c r="J55" s="68"/>
      <c r="K55" s="90"/>
    </row>
    <row r="56" spans="1:11" ht="20.100000000000001" customHeight="1">
      <c r="A56" s="583">
        <f t="shared" si="2"/>
        <v>13</v>
      </c>
      <c r="B56" s="652" t="s">
        <v>2183</v>
      </c>
      <c r="C56" s="66" t="str">
        <f t="shared" si="0"/>
        <v>Rehabilitación compuerta de limpieza</v>
      </c>
      <c r="D56" s="103">
        <f t="shared" si="1"/>
        <v>0</v>
      </c>
      <c r="E56" s="586"/>
      <c r="F56" s="143"/>
      <c r="G56" s="142" t="s">
        <v>2110</v>
      </c>
      <c r="H56" s="584"/>
      <c r="I56" s="444"/>
      <c r="J56" s="68"/>
      <c r="K56" s="90"/>
    </row>
    <row r="57" spans="1:11" ht="20.100000000000001" customHeight="1">
      <c r="A57" s="583">
        <f t="shared" si="2"/>
        <v>14</v>
      </c>
      <c r="B57" s="652" t="s">
        <v>2134</v>
      </c>
      <c r="C57" s="66" t="str">
        <f t="shared" si="0"/>
        <v>Reemplazo de compuertas desarenador</v>
      </c>
      <c r="D57" s="103" t="str">
        <f t="shared" si="1"/>
        <v>gl.</v>
      </c>
      <c r="E57" s="586">
        <v>1</v>
      </c>
      <c r="F57" s="143"/>
      <c r="G57" s="142" t="s">
        <v>2111</v>
      </c>
      <c r="H57" s="584" t="s">
        <v>2092</v>
      </c>
      <c r="I57" s="444"/>
      <c r="J57" s="68"/>
      <c r="K57" s="90"/>
    </row>
    <row r="58" spans="1:11" ht="20.100000000000001" customHeight="1">
      <c r="A58" s="583">
        <f t="shared" si="2"/>
        <v>15</v>
      </c>
      <c r="B58" s="652" t="s">
        <v>2135</v>
      </c>
      <c r="C58" s="66" t="str">
        <f t="shared" si="0"/>
        <v>Motorizacion/Electrificacion desarenador</v>
      </c>
      <c r="D58" s="103" t="str">
        <f t="shared" si="1"/>
        <v>gl.</v>
      </c>
      <c r="E58" s="586">
        <v>1</v>
      </c>
      <c r="F58" s="143"/>
      <c r="G58" s="142" t="s">
        <v>2112</v>
      </c>
      <c r="H58" s="584" t="s">
        <v>2092</v>
      </c>
      <c r="I58" s="444"/>
      <c r="J58" s="68"/>
      <c r="K58" s="90"/>
    </row>
    <row r="59" spans="1:11" ht="20.100000000000001" customHeight="1">
      <c r="A59" s="583">
        <f t="shared" si="2"/>
        <v>15</v>
      </c>
      <c r="B59" s="654">
        <v>5</v>
      </c>
      <c r="C59" s="66" t="str">
        <f t="shared" si="0"/>
        <v>CANAL MATRIZ</v>
      </c>
      <c r="D59" s="103">
        <f t="shared" si="1"/>
        <v>0</v>
      </c>
      <c r="E59" s="586"/>
      <c r="F59" s="143"/>
      <c r="G59" s="142" t="s">
        <v>2115</v>
      </c>
      <c r="H59" s="584"/>
      <c r="I59" s="444"/>
      <c r="J59" s="68"/>
    </row>
    <row r="60" spans="1:11" ht="20.100000000000001" customHeight="1">
      <c r="A60" s="583">
        <f t="shared" si="2"/>
        <v>15</v>
      </c>
      <c r="B60" s="652" t="s">
        <v>2184</v>
      </c>
      <c r="C60" s="66" t="str">
        <f t="shared" si="0"/>
        <v>Tramo Inicial - Encamisado total</v>
      </c>
      <c r="D60" s="103">
        <f t="shared" si="1"/>
        <v>0</v>
      </c>
      <c r="E60" s="586"/>
      <c r="F60" s="143"/>
      <c r="G60" s="142" t="s">
        <v>2116</v>
      </c>
      <c r="H60" s="584"/>
      <c r="I60" s="444"/>
      <c r="J60" s="68"/>
    </row>
    <row r="61" spans="1:11" ht="20.100000000000001" customHeight="1">
      <c r="A61" s="583">
        <f t="shared" si="2"/>
        <v>16</v>
      </c>
      <c r="B61" s="652" t="s">
        <v>2151</v>
      </c>
      <c r="C61" s="66" t="str">
        <f t="shared" si="0"/>
        <v>Limpieza camino de servicio</v>
      </c>
      <c r="D61" s="103" t="str">
        <f t="shared" si="1"/>
        <v>m</v>
      </c>
      <c r="E61" s="586">
        <v>700</v>
      </c>
      <c r="F61" s="143"/>
      <c r="G61" s="142" t="s">
        <v>2117</v>
      </c>
      <c r="H61" s="584" t="s">
        <v>996</v>
      </c>
      <c r="I61" s="444"/>
      <c r="J61" s="68"/>
    </row>
    <row r="62" spans="1:11" ht="20.100000000000001" customHeight="1">
      <c r="A62" s="583">
        <f t="shared" si="2"/>
        <v>17</v>
      </c>
      <c r="B62" s="652" t="s">
        <v>2152</v>
      </c>
      <c r="C62" s="66" t="str">
        <f t="shared" si="0"/>
        <v>Limpieza y preparación del terreno</v>
      </c>
      <c r="D62" s="103" t="str">
        <f t="shared" si="1"/>
        <v>m</v>
      </c>
      <c r="E62" s="586">
        <v>700</v>
      </c>
      <c r="F62" s="143"/>
      <c r="G62" s="142" t="s">
        <v>2118</v>
      </c>
      <c r="H62" s="584" t="s">
        <v>996</v>
      </c>
      <c r="I62" s="444"/>
      <c r="J62" s="68"/>
    </row>
    <row r="63" spans="1:11" ht="20.100000000000001" customHeight="1">
      <c r="A63" s="583">
        <f t="shared" si="2"/>
        <v>18</v>
      </c>
      <c r="B63" s="652" t="s">
        <v>2153</v>
      </c>
      <c r="C63" s="66" t="str">
        <f t="shared" si="0"/>
        <v>Excavación</v>
      </c>
      <c r="D63" s="103" t="str">
        <f t="shared" si="1"/>
        <v>m3</v>
      </c>
      <c r="E63" s="586">
        <v>2938</v>
      </c>
      <c r="F63" s="143"/>
      <c r="G63" s="142" t="s">
        <v>2119</v>
      </c>
      <c r="H63" s="584" t="s">
        <v>2075</v>
      </c>
      <c r="I63" s="444"/>
      <c r="J63" s="68"/>
    </row>
    <row r="64" spans="1:11" ht="20.100000000000001" customHeight="1">
      <c r="A64" s="583">
        <f t="shared" si="2"/>
        <v>19</v>
      </c>
      <c r="B64" s="652" t="s">
        <v>2154</v>
      </c>
      <c r="C64" s="66" t="str">
        <f t="shared" si="0"/>
        <v>Relleno y compactación</v>
      </c>
      <c r="D64" s="103" t="str">
        <f t="shared" si="1"/>
        <v>m3</v>
      </c>
      <c r="E64" s="586">
        <v>1860</v>
      </c>
      <c r="F64" s="143"/>
      <c r="G64" s="142" t="s">
        <v>2120</v>
      </c>
      <c r="H64" s="584" t="s">
        <v>2075</v>
      </c>
      <c r="I64" s="444"/>
      <c r="J64" s="68"/>
    </row>
    <row r="65" spans="1:10" ht="20.100000000000001" customHeight="1">
      <c r="A65" s="583">
        <f t="shared" si="2"/>
        <v>20</v>
      </c>
      <c r="B65" s="652" t="s">
        <v>2155</v>
      </c>
      <c r="C65" s="66" t="str">
        <f t="shared" si="0"/>
        <v>Hormigón H20</v>
      </c>
      <c r="D65" s="103" t="str">
        <f t="shared" si="1"/>
        <v>m3</v>
      </c>
      <c r="E65" s="586">
        <v>983</v>
      </c>
      <c r="F65" s="143"/>
      <c r="G65" s="142" t="s">
        <v>2121</v>
      </c>
      <c r="H65" s="584" t="s">
        <v>2075</v>
      </c>
      <c r="I65" s="444"/>
      <c r="J65" s="68"/>
    </row>
    <row r="66" spans="1:10" ht="20.100000000000001" customHeight="1">
      <c r="A66" s="583">
        <f t="shared" si="2"/>
        <v>21</v>
      </c>
      <c r="B66" s="652" t="s">
        <v>2156</v>
      </c>
      <c r="C66" s="66" t="str">
        <f t="shared" si="0"/>
        <v>Malla de acero</v>
      </c>
      <c r="D66" s="103" t="str">
        <f t="shared" si="1"/>
        <v>kg</v>
      </c>
      <c r="E66" s="586">
        <v>42952</v>
      </c>
      <c r="F66" s="143"/>
      <c r="G66" s="142" t="s">
        <v>2122</v>
      </c>
      <c r="H66" s="584" t="s">
        <v>2082</v>
      </c>
      <c r="I66" s="444"/>
      <c r="J66" s="68"/>
    </row>
    <row r="67" spans="1:10" ht="20.100000000000001" customHeight="1">
      <c r="A67" s="583">
        <f t="shared" si="2"/>
        <v>22</v>
      </c>
      <c r="B67" s="652" t="s">
        <v>2185</v>
      </c>
      <c r="C67" s="66" t="str">
        <f t="shared" si="0"/>
        <v>Hormigón armado H20</v>
      </c>
      <c r="D67" s="103" t="str">
        <f t="shared" si="1"/>
        <v>m3</v>
      </c>
      <c r="E67" s="586">
        <v>106</v>
      </c>
      <c r="F67" s="143"/>
      <c r="G67" s="142" t="s">
        <v>2123</v>
      </c>
      <c r="H67" s="584" t="s">
        <v>2075</v>
      </c>
      <c r="I67" s="444"/>
      <c r="J67" s="68"/>
    </row>
    <row r="68" spans="1:10" ht="20.100000000000001" customHeight="1">
      <c r="A68" s="583">
        <f t="shared" si="2"/>
        <v>22</v>
      </c>
      <c r="B68" s="652" t="s">
        <v>2186</v>
      </c>
      <c r="C68" s="66" t="str">
        <f t="shared" ref="C68:C103" si="3">IFERROR(VLOOKUP(J68,T_Código_Items,2,FALSE),G68)</f>
        <v>Tramo Final - Reconstruccion total</v>
      </c>
      <c r="D68" s="103">
        <f t="shared" ref="D68:D103" si="4">IFERROR(VLOOKUP(J68,T_Código_Items,3,FALSE),H68)</f>
        <v>0</v>
      </c>
      <c r="E68" s="586"/>
      <c r="F68" s="143"/>
      <c r="G68" s="142" t="s">
        <v>2124</v>
      </c>
      <c r="H68" s="584"/>
      <c r="I68" s="444"/>
      <c r="J68" s="68"/>
    </row>
    <row r="69" spans="1:10" ht="20.100000000000001" customHeight="1">
      <c r="A69" s="583">
        <f t="shared" si="2"/>
        <v>23</v>
      </c>
      <c r="B69" s="652" t="s">
        <v>2157</v>
      </c>
      <c r="C69" s="66" t="str">
        <f t="shared" si="3"/>
        <v>Rehabilitacion camino de servicio</v>
      </c>
      <c r="D69" s="103" t="str">
        <f t="shared" si="4"/>
        <v>m</v>
      </c>
      <c r="E69" s="586">
        <v>230</v>
      </c>
      <c r="F69" s="143"/>
      <c r="G69" s="142" t="s">
        <v>2125</v>
      </c>
      <c r="H69" s="584" t="s">
        <v>996</v>
      </c>
      <c r="I69" s="444"/>
      <c r="J69" s="68"/>
    </row>
    <row r="70" spans="1:10" ht="20.100000000000001" customHeight="1">
      <c r="A70" s="583">
        <f t="shared" si="2"/>
        <v>24</v>
      </c>
      <c r="B70" s="652" t="s">
        <v>2158</v>
      </c>
      <c r="C70" s="66" t="str">
        <f t="shared" si="3"/>
        <v>Limpieza y preparación del terreno</v>
      </c>
      <c r="D70" s="103" t="str">
        <f t="shared" si="4"/>
        <v>m</v>
      </c>
      <c r="E70" s="586">
        <v>230</v>
      </c>
      <c r="F70" s="143"/>
      <c r="G70" s="142" t="s">
        <v>2118</v>
      </c>
      <c r="H70" s="584" t="s">
        <v>996</v>
      </c>
      <c r="I70" s="444"/>
      <c r="J70" s="68"/>
    </row>
    <row r="71" spans="1:10" ht="20.100000000000001" customHeight="1">
      <c r="A71" s="583">
        <f t="shared" si="2"/>
        <v>25</v>
      </c>
      <c r="B71" s="652" t="s">
        <v>2159</v>
      </c>
      <c r="C71" s="66" t="str">
        <f t="shared" si="3"/>
        <v>Demoliciones</v>
      </c>
      <c r="D71" s="103" t="str">
        <f t="shared" si="4"/>
        <v>m3</v>
      </c>
      <c r="E71" s="586">
        <v>450</v>
      </c>
      <c r="F71" s="143"/>
      <c r="G71" s="142" t="s">
        <v>2126</v>
      </c>
      <c r="H71" s="584" t="s">
        <v>2075</v>
      </c>
      <c r="I71" s="444"/>
      <c r="J71" s="68"/>
    </row>
    <row r="72" spans="1:10" ht="20.100000000000001" customHeight="1">
      <c r="A72" s="583">
        <f t="shared" si="2"/>
        <v>26</v>
      </c>
      <c r="B72" s="652" t="s">
        <v>2160</v>
      </c>
      <c r="C72" s="66" t="str">
        <f t="shared" si="3"/>
        <v>Excavacion</v>
      </c>
      <c r="D72" s="103" t="str">
        <f t="shared" si="4"/>
        <v>m3</v>
      </c>
      <c r="E72" s="586">
        <v>1469</v>
      </c>
      <c r="F72" s="143"/>
      <c r="G72" s="142" t="s">
        <v>2127</v>
      </c>
      <c r="H72" s="584" t="s">
        <v>2075</v>
      </c>
      <c r="I72" s="444"/>
      <c r="J72" s="68"/>
    </row>
    <row r="73" spans="1:10" ht="20.100000000000001" customHeight="1">
      <c r="A73" s="583">
        <f t="shared" si="2"/>
        <v>27</v>
      </c>
      <c r="B73" s="652" t="s">
        <v>2161</v>
      </c>
      <c r="C73" s="66" t="str">
        <f t="shared" si="3"/>
        <v>Relleno y compactación</v>
      </c>
      <c r="D73" s="103" t="str">
        <f t="shared" si="4"/>
        <v>m3</v>
      </c>
      <c r="E73" s="586">
        <v>1539</v>
      </c>
      <c r="F73" s="143"/>
      <c r="G73" s="142" t="s">
        <v>2120</v>
      </c>
      <c r="H73" s="584" t="s">
        <v>2075</v>
      </c>
      <c r="I73" s="444"/>
      <c r="J73" s="68"/>
    </row>
    <row r="74" spans="1:10" ht="20.100000000000001" customHeight="1">
      <c r="A74" s="583">
        <f t="shared" si="2"/>
        <v>28</v>
      </c>
      <c r="B74" s="652" t="s">
        <v>2162</v>
      </c>
      <c r="C74" s="66" t="str">
        <f t="shared" si="3"/>
        <v>Geotextil</v>
      </c>
      <c r="D74" s="103" t="str">
        <f t="shared" si="4"/>
        <v>m2</v>
      </c>
      <c r="E74" s="586">
        <v>2075</v>
      </c>
      <c r="F74" s="143"/>
      <c r="G74" s="142" t="s">
        <v>2128</v>
      </c>
      <c r="H74" s="584" t="s">
        <v>5</v>
      </c>
      <c r="I74" s="444"/>
      <c r="J74" s="68"/>
    </row>
    <row r="75" spans="1:10" ht="20.100000000000001" customHeight="1">
      <c r="A75" s="583">
        <f t="shared" si="2"/>
        <v>29</v>
      </c>
      <c r="B75" s="652" t="s">
        <v>2163</v>
      </c>
      <c r="C75" s="66" t="str">
        <f t="shared" si="3"/>
        <v>Grava de asiento</v>
      </c>
      <c r="D75" s="103" t="str">
        <f t="shared" si="4"/>
        <v>m3</v>
      </c>
      <c r="E75" s="586">
        <v>329</v>
      </c>
      <c r="F75" s="143"/>
      <c r="G75" s="142" t="s">
        <v>2129</v>
      </c>
      <c r="H75" s="584" t="s">
        <v>2075</v>
      </c>
      <c r="I75" s="444"/>
      <c r="J75" s="68"/>
    </row>
    <row r="76" spans="1:10" ht="20.100000000000001" customHeight="1">
      <c r="A76" s="583">
        <f t="shared" si="2"/>
        <v>30</v>
      </c>
      <c r="B76" s="652" t="s">
        <v>2164</v>
      </c>
      <c r="C76" s="66" t="str">
        <f t="shared" si="3"/>
        <v>Hormigón de limpieza</v>
      </c>
      <c r="D76" s="103" t="str">
        <f t="shared" si="4"/>
        <v>m3</v>
      </c>
      <c r="E76" s="586">
        <v>81</v>
      </c>
      <c r="F76" s="143"/>
      <c r="G76" s="142" t="s">
        <v>2130</v>
      </c>
      <c r="H76" s="584" t="s">
        <v>2075</v>
      </c>
      <c r="I76" s="444"/>
      <c r="J76" s="68"/>
    </row>
    <row r="77" spans="1:10" ht="20.100000000000001" customHeight="1">
      <c r="A77" s="583">
        <f t="shared" si="2"/>
        <v>31</v>
      </c>
      <c r="B77" s="652" t="s">
        <v>2165</v>
      </c>
      <c r="C77" s="66" t="str">
        <f t="shared" si="3"/>
        <v>Hormigón armado H20</v>
      </c>
      <c r="D77" s="103" t="str">
        <f t="shared" si="4"/>
        <v>m3</v>
      </c>
      <c r="E77" s="586">
        <v>450</v>
      </c>
      <c r="F77" s="143"/>
      <c r="G77" s="142" t="s">
        <v>2123</v>
      </c>
      <c r="H77" s="584" t="s">
        <v>2075</v>
      </c>
      <c r="I77" s="444"/>
      <c r="J77" s="68"/>
    </row>
    <row r="78" spans="1:10" ht="20.100000000000001" customHeight="1">
      <c r="A78" s="583">
        <f t="shared" si="2"/>
        <v>32</v>
      </c>
      <c r="B78" s="652" t="s">
        <v>2166</v>
      </c>
      <c r="C78" s="66" t="str">
        <f t="shared" si="3"/>
        <v>Reemplazo de compuertas</v>
      </c>
      <c r="D78" s="103" t="str">
        <f t="shared" si="4"/>
        <v>unidad</v>
      </c>
      <c r="E78" s="586">
        <v>2</v>
      </c>
      <c r="F78" s="143"/>
      <c r="G78" s="142" t="s">
        <v>2131</v>
      </c>
      <c r="H78" s="584" t="s">
        <v>2133</v>
      </c>
      <c r="I78" s="444"/>
      <c r="J78" s="68"/>
    </row>
    <row r="79" spans="1:10" ht="20.100000000000001" customHeight="1">
      <c r="A79" s="583">
        <f t="shared" si="2"/>
        <v>33</v>
      </c>
      <c r="B79" s="652" t="s">
        <v>2167</v>
      </c>
      <c r="C79" s="66" t="str">
        <f t="shared" si="3"/>
        <v>Readecuacion comparto de derivacion</v>
      </c>
      <c r="D79" s="103" t="str">
        <f t="shared" si="4"/>
        <v>gl.</v>
      </c>
      <c r="E79" s="586">
        <v>1</v>
      </c>
      <c r="F79" s="143"/>
      <c r="G79" s="142" t="s">
        <v>2132</v>
      </c>
      <c r="H79" s="584" t="s">
        <v>2092</v>
      </c>
      <c r="I79" s="444"/>
      <c r="J79" s="68"/>
    </row>
    <row r="80" spans="1:10" ht="20.100000000000001" customHeight="1">
      <c r="A80" s="583">
        <f t="shared" si="2"/>
        <v>33</v>
      </c>
      <c r="B80" s="654">
        <v>6</v>
      </c>
      <c r="C80" s="66" t="str">
        <f t="shared" si="3"/>
        <v>CANAL DEL NORTE</v>
      </c>
      <c r="D80" s="103">
        <f t="shared" si="4"/>
        <v>0</v>
      </c>
      <c r="E80" s="586"/>
      <c r="F80" s="143"/>
      <c r="G80" s="142" t="s">
        <v>2136</v>
      </c>
      <c r="H80" s="584"/>
      <c r="I80" s="444"/>
      <c r="J80" s="68"/>
    </row>
    <row r="81" spans="1:10" ht="20.100000000000001" customHeight="1">
      <c r="A81" s="583">
        <f t="shared" si="2"/>
        <v>33</v>
      </c>
      <c r="B81" s="652" t="s">
        <v>2187</v>
      </c>
      <c r="C81" s="66" t="str">
        <f t="shared" si="3"/>
        <v>Encamisado Total</v>
      </c>
      <c r="D81" s="103">
        <f t="shared" si="4"/>
        <v>0</v>
      </c>
      <c r="E81" s="586"/>
      <c r="F81" s="143"/>
      <c r="G81" s="142" t="s">
        <v>2137</v>
      </c>
      <c r="H81" s="584"/>
      <c r="I81" s="444"/>
      <c r="J81" s="68"/>
    </row>
    <row r="82" spans="1:10" ht="20.100000000000001" customHeight="1">
      <c r="A82" s="583">
        <f t="shared" si="2"/>
        <v>34</v>
      </c>
      <c r="B82" s="652" t="s">
        <v>2188</v>
      </c>
      <c r="C82" s="66" t="str">
        <f t="shared" si="3"/>
        <v>Rehabilitación camino de servicio</v>
      </c>
      <c r="D82" s="103" t="str">
        <f t="shared" si="4"/>
        <v>m</v>
      </c>
      <c r="E82" s="586">
        <v>5095</v>
      </c>
      <c r="F82" s="143"/>
      <c r="G82" s="142" t="s">
        <v>2138</v>
      </c>
      <c r="H82" s="584" t="s">
        <v>996</v>
      </c>
      <c r="I82" s="444"/>
      <c r="J82" s="68"/>
    </row>
    <row r="83" spans="1:10" ht="20.100000000000001" customHeight="1">
      <c r="A83" s="583">
        <f t="shared" si="2"/>
        <v>35</v>
      </c>
      <c r="B83" s="652" t="s">
        <v>2189</v>
      </c>
      <c r="C83" s="66" t="str">
        <f t="shared" si="3"/>
        <v>Limpieza y preparación del terreno</v>
      </c>
      <c r="D83" s="103" t="str">
        <f t="shared" si="4"/>
        <v>m</v>
      </c>
      <c r="E83" s="586">
        <v>5095</v>
      </c>
      <c r="F83" s="143"/>
      <c r="G83" s="142" t="s">
        <v>2118</v>
      </c>
      <c r="H83" s="584" t="s">
        <v>996</v>
      </c>
      <c r="I83" s="444"/>
      <c r="J83" s="68"/>
    </row>
    <row r="84" spans="1:10" ht="20.100000000000001" customHeight="1">
      <c r="A84" s="583">
        <f t="shared" si="2"/>
        <v>36</v>
      </c>
      <c r="B84" s="652" t="s">
        <v>2190</v>
      </c>
      <c r="C84" s="66" t="str">
        <f t="shared" si="3"/>
        <v>Excavación</v>
      </c>
      <c r="D84" s="103" t="str">
        <f t="shared" si="4"/>
        <v>m3</v>
      </c>
      <c r="E84" s="586">
        <v>1425</v>
      </c>
      <c r="F84" s="143"/>
      <c r="G84" s="142" t="s">
        <v>2119</v>
      </c>
      <c r="H84" s="584" t="s">
        <v>2075</v>
      </c>
      <c r="I84" s="444"/>
      <c r="J84" s="68"/>
    </row>
    <row r="85" spans="1:10" ht="20.100000000000001" customHeight="1">
      <c r="A85" s="583">
        <f t="shared" si="2"/>
        <v>37</v>
      </c>
      <c r="B85" s="652" t="s">
        <v>2191</v>
      </c>
      <c r="C85" s="66" t="str">
        <f t="shared" si="3"/>
        <v>Relleno y compactación</v>
      </c>
      <c r="D85" s="103" t="str">
        <f t="shared" si="4"/>
        <v>m3</v>
      </c>
      <c r="E85" s="586">
        <v>1492</v>
      </c>
      <c r="F85" s="143"/>
      <c r="G85" s="142" t="s">
        <v>2120</v>
      </c>
      <c r="H85" s="584" t="s">
        <v>2075</v>
      </c>
      <c r="I85" s="444"/>
      <c r="J85" s="68"/>
    </row>
    <row r="86" spans="1:10" ht="20.100000000000001" customHeight="1">
      <c r="A86" s="583">
        <f t="shared" si="2"/>
        <v>38</v>
      </c>
      <c r="B86" s="652" t="s">
        <v>2192</v>
      </c>
      <c r="C86" s="66" t="str">
        <f t="shared" si="3"/>
        <v>Hormigon H20</v>
      </c>
      <c r="D86" s="103" t="str">
        <f t="shared" si="4"/>
        <v>m3</v>
      </c>
      <c r="E86" s="586">
        <v>3545</v>
      </c>
      <c r="F86" s="143"/>
      <c r="G86" s="142" t="s">
        <v>2139</v>
      </c>
      <c r="H86" s="584" t="s">
        <v>2075</v>
      </c>
      <c r="I86" s="444"/>
      <c r="J86" s="68"/>
    </row>
    <row r="87" spans="1:10" ht="20.100000000000001" customHeight="1">
      <c r="A87" s="583">
        <f t="shared" si="2"/>
        <v>39</v>
      </c>
      <c r="B87" s="652" t="s">
        <v>2193</v>
      </c>
      <c r="C87" s="66" t="str">
        <f t="shared" si="3"/>
        <v>Malla de acero</v>
      </c>
      <c r="D87" s="103" t="str">
        <f t="shared" si="4"/>
        <v>kg</v>
      </c>
      <c r="E87" s="586">
        <v>113044</v>
      </c>
      <c r="F87" s="143"/>
      <c r="G87" s="142" t="s">
        <v>2122</v>
      </c>
      <c r="H87" s="584" t="s">
        <v>2082</v>
      </c>
      <c r="I87" s="444"/>
      <c r="J87" s="68"/>
    </row>
    <row r="88" spans="1:10" ht="20.100000000000001" customHeight="1">
      <c r="A88" s="583">
        <f t="shared" si="2"/>
        <v>39</v>
      </c>
      <c r="B88" s="652" t="s">
        <v>2194</v>
      </c>
      <c r="C88" s="66" t="str">
        <f t="shared" si="3"/>
        <v>Obras de cruce aluvional</v>
      </c>
      <c r="D88" s="103">
        <f t="shared" si="4"/>
        <v>0</v>
      </c>
      <c r="E88" s="586"/>
      <c r="F88" s="143"/>
      <c r="G88" s="142" t="s">
        <v>2140</v>
      </c>
      <c r="H88" s="584"/>
      <c r="I88" s="444"/>
      <c r="J88" s="68"/>
    </row>
    <row r="89" spans="1:10" ht="20.100000000000001" customHeight="1">
      <c r="A89" s="583">
        <f t="shared" si="2"/>
        <v>40</v>
      </c>
      <c r="B89" s="652" t="s">
        <v>2195</v>
      </c>
      <c r="C89" s="66" t="str">
        <f t="shared" si="3"/>
        <v>Limpieza y preparación del terreno</v>
      </c>
      <c r="D89" s="103" t="str">
        <f t="shared" si="4"/>
        <v>m</v>
      </c>
      <c r="E89" s="586">
        <v>200</v>
      </c>
      <c r="F89" s="143"/>
      <c r="G89" s="142" t="s">
        <v>2118</v>
      </c>
      <c r="H89" s="584" t="s">
        <v>996</v>
      </c>
      <c r="I89" s="444"/>
      <c r="J89" s="68"/>
    </row>
    <row r="90" spans="1:10" ht="20.100000000000001" customHeight="1">
      <c r="A90" s="583">
        <f t="shared" si="2"/>
        <v>41</v>
      </c>
      <c r="B90" s="652" t="s">
        <v>2196</v>
      </c>
      <c r="C90" s="66" t="str">
        <f t="shared" si="3"/>
        <v>Excavación</v>
      </c>
      <c r="D90" s="103" t="str">
        <f t="shared" si="4"/>
        <v>m3</v>
      </c>
      <c r="E90" s="586">
        <v>544</v>
      </c>
      <c r="F90" s="143"/>
      <c r="G90" s="142" t="s">
        <v>2119</v>
      </c>
      <c r="H90" s="584" t="s">
        <v>2075</v>
      </c>
      <c r="I90" s="444"/>
      <c r="J90" s="68"/>
    </row>
    <row r="91" spans="1:10" ht="20.100000000000001" customHeight="1">
      <c r="A91" s="583">
        <f t="shared" si="2"/>
        <v>42</v>
      </c>
      <c r="B91" s="652" t="s">
        <v>2197</v>
      </c>
      <c r="C91" s="66" t="str">
        <f t="shared" si="3"/>
        <v>Demoliciones</v>
      </c>
      <c r="D91" s="103" t="str">
        <f t="shared" si="4"/>
        <v>m3</v>
      </c>
      <c r="E91" s="586">
        <v>263</v>
      </c>
      <c r="F91" s="143"/>
      <c r="G91" s="142" t="s">
        <v>2126</v>
      </c>
      <c r="H91" s="584" t="s">
        <v>2075</v>
      </c>
      <c r="I91" s="444"/>
      <c r="J91" s="68"/>
    </row>
    <row r="92" spans="1:10" ht="20.100000000000001" customHeight="1">
      <c r="A92" s="583">
        <f t="shared" si="2"/>
        <v>43</v>
      </c>
      <c r="B92" s="652" t="s">
        <v>2198</v>
      </c>
      <c r="C92" s="66" t="str">
        <f t="shared" si="3"/>
        <v>Hormigon de limpleza</v>
      </c>
      <c r="D92" s="103" t="str">
        <f t="shared" si="4"/>
        <v>m3</v>
      </c>
      <c r="E92" s="586">
        <v>18</v>
      </c>
      <c r="F92" s="143"/>
      <c r="G92" s="142" t="s">
        <v>2141</v>
      </c>
      <c r="H92" s="584" t="s">
        <v>2075</v>
      </c>
      <c r="I92" s="444"/>
      <c r="J92" s="68"/>
    </row>
    <row r="93" spans="1:10" ht="20.100000000000001" customHeight="1">
      <c r="A93" s="583">
        <f t="shared" si="2"/>
        <v>44</v>
      </c>
      <c r="B93" s="652" t="s">
        <v>2199</v>
      </c>
      <c r="C93" s="66" t="str">
        <f t="shared" si="3"/>
        <v>Hormigon H20</v>
      </c>
      <c r="D93" s="103" t="str">
        <f t="shared" si="4"/>
        <v>m3</v>
      </c>
      <c r="E93" s="586">
        <v>799</v>
      </c>
      <c r="F93" s="143"/>
      <c r="G93" s="142" t="s">
        <v>2139</v>
      </c>
      <c r="H93" s="584" t="s">
        <v>2075</v>
      </c>
      <c r="I93" s="444"/>
      <c r="J93" s="68"/>
    </row>
    <row r="94" spans="1:10" ht="20.100000000000001" customHeight="1">
      <c r="A94" s="583">
        <f t="shared" si="2"/>
        <v>45</v>
      </c>
      <c r="B94" s="652" t="s">
        <v>2200</v>
      </c>
      <c r="C94" s="66" t="str">
        <f t="shared" si="3"/>
        <v>Malla de acero</v>
      </c>
      <c r="D94" s="103" t="str">
        <f t="shared" si="4"/>
        <v>kg</v>
      </c>
      <c r="E94" s="586">
        <v>20837</v>
      </c>
      <c r="F94" s="143"/>
      <c r="G94" s="142" t="s">
        <v>2122</v>
      </c>
      <c r="H94" s="584" t="s">
        <v>2082</v>
      </c>
      <c r="I94" s="444"/>
      <c r="J94" s="68"/>
    </row>
    <row r="95" spans="1:10" ht="20.100000000000001" customHeight="1">
      <c r="A95" s="583">
        <f t="shared" si="2"/>
        <v>46</v>
      </c>
      <c r="B95" s="652" t="s">
        <v>2201</v>
      </c>
      <c r="C95" s="66" t="str">
        <f t="shared" si="3"/>
        <v>Remocion recubrimiento dañado y limpieza en pila, fondo losa y estribos</v>
      </c>
      <c r="D95" s="103" t="str">
        <f t="shared" si="4"/>
        <v>m2</v>
      </c>
      <c r="E95" s="586">
        <v>311</v>
      </c>
      <c r="F95" s="143"/>
      <c r="G95" s="142" t="s">
        <v>2142</v>
      </c>
      <c r="H95" s="584" t="s">
        <v>5</v>
      </c>
      <c r="I95" s="444"/>
      <c r="J95" s="68"/>
    </row>
    <row r="96" spans="1:10" ht="20.100000000000001" customHeight="1">
      <c r="A96" s="583">
        <f t="shared" si="2"/>
        <v>47</v>
      </c>
      <c r="B96" s="652" t="s">
        <v>2202</v>
      </c>
      <c r="C96" s="66" t="str">
        <f t="shared" si="3"/>
        <v>Arenado de armaduras existentes</v>
      </c>
      <c r="D96" s="103" t="str">
        <f t="shared" si="4"/>
        <v>m2</v>
      </c>
      <c r="E96" s="586">
        <v>171</v>
      </c>
      <c r="F96" s="143"/>
      <c r="G96" s="142" t="s">
        <v>2143</v>
      </c>
      <c r="H96" s="584" t="s">
        <v>5</v>
      </c>
      <c r="I96" s="444"/>
      <c r="J96" s="68"/>
    </row>
    <row r="97" spans="1:10" ht="20.100000000000001" customHeight="1">
      <c r="A97" s="583">
        <f t="shared" si="2"/>
        <v>48</v>
      </c>
      <c r="B97" s="652" t="s">
        <v>2203</v>
      </c>
      <c r="C97" s="66" t="str">
        <f t="shared" si="3"/>
        <v>provision e instalacion de pernos de anclaje en estribos</v>
      </c>
      <c r="D97" s="103" t="str">
        <f t="shared" si="4"/>
        <v>unidad</v>
      </c>
      <c r="E97" s="586">
        <v>120</v>
      </c>
      <c r="F97" s="143"/>
      <c r="G97" s="142" t="s">
        <v>2144</v>
      </c>
      <c r="H97" s="584" t="s">
        <v>2133</v>
      </c>
      <c r="I97" s="444"/>
      <c r="J97" s="68"/>
    </row>
    <row r="98" spans="1:10" ht="20.100000000000001" customHeight="1">
      <c r="A98" s="583">
        <f t="shared" si="2"/>
        <v>49</v>
      </c>
      <c r="B98" s="652" t="s">
        <v>2204</v>
      </c>
      <c r="C98" s="66" t="str">
        <f t="shared" si="3"/>
        <v>Proteccion convertidor de óxido</v>
      </c>
      <c r="D98" s="103" t="str">
        <f t="shared" si="4"/>
        <v>litros</v>
      </c>
      <c r="E98" s="586">
        <v>62</v>
      </c>
      <c r="F98" s="143"/>
      <c r="G98" s="142" t="s">
        <v>2145</v>
      </c>
      <c r="H98" s="584" t="s">
        <v>2150</v>
      </c>
      <c r="I98" s="444"/>
      <c r="J98" s="68"/>
    </row>
    <row r="99" spans="1:10" ht="20.100000000000001" customHeight="1">
      <c r="A99" s="583">
        <f t="shared" si="2"/>
        <v>50</v>
      </c>
      <c r="B99" s="652" t="s">
        <v>2205</v>
      </c>
      <c r="C99" s="66" t="str">
        <f t="shared" si="3"/>
        <v>Puente de adherencia entre hormigones</v>
      </c>
      <c r="D99" s="103" t="str">
        <f t="shared" si="4"/>
        <v>kg</v>
      </c>
      <c r="E99" s="586">
        <v>30</v>
      </c>
      <c r="F99" s="143"/>
      <c r="G99" s="142" t="s">
        <v>2146</v>
      </c>
      <c r="H99" s="584" t="s">
        <v>2082</v>
      </c>
      <c r="I99" s="444"/>
      <c r="J99" s="68"/>
    </row>
    <row r="100" spans="1:10" ht="20.100000000000001" customHeight="1">
      <c r="A100" s="583">
        <f t="shared" si="2"/>
        <v>51</v>
      </c>
      <c r="B100" s="652" t="s">
        <v>2206</v>
      </c>
      <c r="C100" s="66" t="str">
        <f t="shared" si="3"/>
        <v>Juntas de dilatacion</v>
      </c>
      <c r="D100" s="103" t="str">
        <f t="shared" si="4"/>
        <v>m</v>
      </c>
      <c r="E100" s="586">
        <v>72</v>
      </c>
      <c r="F100" s="143"/>
      <c r="G100" s="142" t="s">
        <v>2147</v>
      </c>
      <c r="H100" s="584" t="s">
        <v>996</v>
      </c>
      <c r="I100" s="444"/>
      <c r="J100" s="68"/>
    </row>
    <row r="101" spans="1:10" ht="20.100000000000001" customHeight="1">
      <c r="A101" s="583">
        <f t="shared" ref="A101:A164" si="5">IF(D101=0,A100,A100+1)</f>
        <v>52</v>
      </c>
      <c r="B101" s="652" t="s">
        <v>2207</v>
      </c>
      <c r="C101" s="66" t="str">
        <f t="shared" si="3"/>
        <v>Hormigón ciclopeo</v>
      </c>
      <c r="D101" s="103" t="str">
        <f t="shared" si="4"/>
        <v>m3</v>
      </c>
      <c r="E101" s="586">
        <v>9</v>
      </c>
      <c r="F101" s="143"/>
      <c r="G101" s="142" t="s">
        <v>2148</v>
      </c>
      <c r="H101" s="584" t="s">
        <v>2075</v>
      </c>
      <c r="I101" s="444"/>
      <c r="J101" s="68"/>
    </row>
    <row r="102" spans="1:10" ht="20.100000000000001" customHeight="1">
      <c r="A102" s="583">
        <f t="shared" si="5"/>
        <v>53</v>
      </c>
      <c r="B102" s="652" t="s">
        <v>2208</v>
      </c>
      <c r="C102" s="66" t="str">
        <f t="shared" si="3"/>
        <v>Aplicación puente de adherencia y reconstruccion de recubrimiento</v>
      </c>
      <c r="D102" s="103" t="str">
        <f t="shared" si="4"/>
        <v>m2</v>
      </c>
      <c r="E102" s="586">
        <v>160</v>
      </c>
      <c r="F102" s="143"/>
      <c r="G102" s="142" t="s">
        <v>2149</v>
      </c>
      <c r="H102" s="584" t="s">
        <v>5</v>
      </c>
      <c r="I102" s="444"/>
      <c r="J102" s="68"/>
    </row>
    <row r="103" spans="1:10" ht="20.100000000000001" customHeight="1">
      <c r="A103" s="583">
        <f t="shared" si="5"/>
        <v>54</v>
      </c>
      <c r="B103" s="652" t="s">
        <v>2209</v>
      </c>
      <c r="C103" s="66" t="str">
        <f t="shared" si="3"/>
        <v>Juntas constructivas</v>
      </c>
      <c r="D103" s="103" t="str">
        <f t="shared" si="4"/>
        <v>m3</v>
      </c>
      <c r="E103" s="586">
        <v>29</v>
      </c>
      <c r="F103" s="143"/>
      <c r="G103" s="142" t="s">
        <v>2210</v>
      </c>
      <c r="H103" s="584" t="s">
        <v>2075</v>
      </c>
      <c r="I103" s="444"/>
      <c r="J103" s="68"/>
    </row>
    <row r="104" spans="1:10" ht="20.100000000000001" customHeight="1">
      <c r="A104" s="583">
        <f t="shared" si="5"/>
        <v>54</v>
      </c>
      <c r="B104" s="105"/>
      <c r="C104" s="66">
        <f t="shared" ref="C104:C130" si="6">IFERROR(VLOOKUP(J104,T_Código_Items,2,FALSE),G104)</f>
        <v>0</v>
      </c>
      <c r="D104" s="103">
        <f t="shared" ref="D104:D130" si="7">IFERROR(VLOOKUP(J104,T_Código_Items,3,FALSE),H104)</f>
        <v>0</v>
      </c>
      <c r="E104" s="586"/>
      <c r="F104" s="143"/>
      <c r="G104" s="142"/>
      <c r="H104" s="584"/>
      <c r="I104" s="444"/>
      <c r="J104" s="68"/>
    </row>
    <row r="105" spans="1:10" ht="20.100000000000001" customHeight="1">
      <c r="A105" s="583">
        <f t="shared" si="5"/>
        <v>54</v>
      </c>
      <c r="B105" s="105"/>
      <c r="C105" s="66">
        <f t="shared" si="6"/>
        <v>0</v>
      </c>
      <c r="D105" s="103">
        <f t="shared" si="7"/>
        <v>0</v>
      </c>
      <c r="E105" s="586"/>
      <c r="F105" s="143"/>
      <c r="G105" s="142"/>
      <c r="H105" s="584"/>
      <c r="I105" s="444"/>
      <c r="J105" s="68"/>
    </row>
    <row r="106" spans="1:10" ht="20.100000000000001" customHeight="1">
      <c r="A106" s="583">
        <f t="shared" si="5"/>
        <v>54</v>
      </c>
      <c r="B106" s="105"/>
      <c r="C106" s="66">
        <f t="shared" si="6"/>
        <v>0</v>
      </c>
      <c r="D106" s="103">
        <f t="shared" si="7"/>
        <v>0</v>
      </c>
      <c r="E106" s="586"/>
      <c r="F106" s="143"/>
      <c r="G106" s="142"/>
      <c r="H106" s="584"/>
      <c r="I106" s="444"/>
      <c r="J106" s="68"/>
    </row>
    <row r="107" spans="1:10" ht="20.100000000000001" customHeight="1">
      <c r="A107" s="583">
        <f t="shared" si="5"/>
        <v>54</v>
      </c>
      <c r="B107" s="105"/>
      <c r="C107" s="66">
        <f t="shared" si="6"/>
        <v>0</v>
      </c>
      <c r="D107" s="103">
        <f t="shared" si="7"/>
        <v>0</v>
      </c>
      <c r="E107" s="586"/>
      <c r="F107" s="143"/>
      <c r="G107" s="142"/>
      <c r="H107" s="584"/>
      <c r="I107" s="444"/>
      <c r="J107" s="68"/>
    </row>
    <row r="108" spans="1:10" ht="20.100000000000001" customHeight="1">
      <c r="A108" s="583">
        <f t="shared" si="5"/>
        <v>54</v>
      </c>
      <c r="B108" s="105"/>
      <c r="C108" s="66">
        <f t="shared" si="6"/>
        <v>0</v>
      </c>
      <c r="D108" s="103">
        <f t="shared" si="7"/>
        <v>0</v>
      </c>
      <c r="E108" s="586"/>
      <c r="F108" s="143"/>
      <c r="G108" s="142"/>
      <c r="H108" s="584"/>
      <c r="I108" s="444"/>
      <c r="J108" s="68"/>
    </row>
    <row r="109" spans="1:10" ht="20.100000000000001" customHeight="1">
      <c r="A109" s="583">
        <f t="shared" si="5"/>
        <v>54</v>
      </c>
      <c r="B109" s="105"/>
      <c r="C109" s="66">
        <f t="shared" si="6"/>
        <v>0</v>
      </c>
      <c r="D109" s="103">
        <f t="shared" si="7"/>
        <v>0</v>
      </c>
      <c r="E109" s="586"/>
      <c r="F109" s="143"/>
      <c r="G109" s="142"/>
      <c r="H109" s="584"/>
      <c r="I109" s="444"/>
      <c r="J109" s="68"/>
    </row>
    <row r="110" spans="1:10" ht="20.100000000000001" customHeight="1">
      <c r="A110" s="583">
        <f t="shared" si="5"/>
        <v>54</v>
      </c>
      <c r="B110" s="105"/>
      <c r="C110" s="66">
        <f t="shared" si="6"/>
        <v>0</v>
      </c>
      <c r="D110" s="103">
        <f t="shared" si="7"/>
        <v>0</v>
      </c>
      <c r="E110" s="586"/>
      <c r="F110" s="143"/>
      <c r="G110" s="142"/>
      <c r="H110" s="584"/>
      <c r="I110" s="444"/>
      <c r="J110" s="68"/>
    </row>
    <row r="111" spans="1:10" ht="20.100000000000001" customHeight="1">
      <c r="A111" s="583">
        <f t="shared" si="5"/>
        <v>54</v>
      </c>
      <c r="B111" s="105"/>
      <c r="C111" s="66">
        <f t="shared" si="6"/>
        <v>0</v>
      </c>
      <c r="D111" s="103">
        <f t="shared" si="7"/>
        <v>0</v>
      </c>
      <c r="E111" s="586"/>
      <c r="F111" s="143"/>
      <c r="G111" s="142"/>
      <c r="H111" s="584"/>
      <c r="I111" s="444"/>
      <c r="J111" s="68"/>
    </row>
    <row r="112" spans="1:10" ht="20.100000000000001" customHeight="1">
      <c r="A112" s="583">
        <f t="shared" si="5"/>
        <v>54</v>
      </c>
      <c r="B112" s="105"/>
      <c r="C112" s="66">
        <f t="shared" si="6"/>
        <v>0</v>
      </c>
      <c r="D112" s="103">
        <f t="shared" si="7"/>
        <v>0</v>
      </c>
      <c r="E112" s="586"/>
      <c r="F112" s="143"/>
      <c r="G112" s="142"/>
      <c r="H112" s="584"/>
      <c r="I112" s="444"/>
      <c r="J112" s="68"/>
    </row>
    <row r="113" spans="1:10" ht="20.100000000000001" customHeight="1">
      <c r="A113" s="583">
        <f t="shared" si="5"/>
        <v>54</v>
      </c>
      <c r="B113" s="105"/>
      <c r="C113" s="66">
        <f t="shared" si="6"/>
        <v>0</v>
      </c>
      <c r="D113" s="103">
        <f t="shared" si="7"/>
        <v>0</v>
      </c>
      <c r="E113" s="586"/>
      <c r="F113" s="143"/>
      <c r="G113" s="142"/>
      <c r="H113" s="584"/>
      <c r="I113" s="444"/>
      <c r="J113" s="68"/>
    </row>
    <row r="114" spans="1:10" ht="20.100000000000001" customHeight="1">
      <c r="A114" s="583">
        <f t="shared" si="5"/>
        <v>54</v>
      </c>
      <c r="B114" s="105"/>
      <c r="C114" s="66">
        <f t="shared" si="6"/>
        <v>0</v>
      </c>
      <c r="D114" s="103">
        <f t="shared" si="7"/>
        <v>0</v>
      </c>
      <c r="E114" s="586"/>
      <c r="F114" s="143"/>
      <c r="G114" s="142"/>
      <c r="H114" s="584"/>
      <c r="I114" s="444"/>
      <c r="J114" s="68"/>
    </row>
    <row r="115" spans="1:10" ht="20.100000000000001" customHeight="1">
      <c r="A115" s="583">
        <f t="shared" si="5"/>
        <v>54</v>
      </c>
      <c r="B115" s="105"/>
      <c r="C115" s="66">
        <f t="shared" si="6"/>
        <v>0</v>
      </c>
      <c r="D115" s="103">
        <f t="shared" si="7"/>
        <v>0</v>
      </c>
      <c r="E115" s="586"/>
      <c r="F115" s="143"/>
      <c r="G115" s="142"/>
      <c r="H115" s="584"/>
      <c r="I115" s="444"/>
      <c r="J115" s="68"/>
    </row>
    <row r="116" spans="1:10" ht="20.100000000000001" customHeight="1">
      <c r="A116" s="583">
        <f t="shared" si="5"/>
        <v>54</v>
      </c>
      <c r="B116" s="105"/>
      <c r="C116" s="66">
        <f t="shared" si="6"/>
        <v>0</v>
      </c>
      <c r="D116" s="103">
        <f t="shared" si="7"/>
        <v>0</v>
      </c>
      <c r="E116" s="586"/>
      <c r="F116" s="143"/>
      <c r="G116" s="142"/>
      <c r="H116" s="584"/>
      <c r="I116" s="444"/>
      <c r="J116" s="68"/>
    </row>
    <row r="117" spans="1:10" ht="20.100000000000001" customHeight="1">
      <c r="A117" s="583">
        <f t="shared" si="5"/>
        <v>54</v>
      </c>
      <c r="B117" s="105"/>
      <c r="C117" s="66">
        <f t="shared" si="6"/>
        <v>0</v>
      </c>
      <c r="D117" s="103">
        <f t="shared" si="7"/>
        <v>0</v>
      </c>
      <c r="E117" s="586"/>
      <c r="F117" s="143"/>
      <c r="G117" s="142"/>
      <c r="H117" s="584"/>
      <c r="I117" s="444"/>
      <c r="J117" s="68"/>
    </row>
    <row r="118" spans="1:10" ht="20.100000000000001" customHeight="1">
      <c r="A118" s="583">
        <f t="shared" si="5"/>
        <v>54</v>
      </c>
      <c r="B118" s="105"/>
      <c r="C118" s="66">
        <f t="shared" si="6"/>
        <v>0</v>
      </c>
      <c r="D118" s="103">
        <f t="shared" si="7"/>
        <v>0</v>
      </c>
      <c r="E118" s="586"/>
      <c r="F118" s="143"/>
      <c r="G118" s="142"/>
      <c r="H118" s="584"/>
      <c r="I118" s="444"/>
      <c r="J118" s="68"/>
    </row>
    <row r="119" spans="1:10" ht="20.100000000000001" customHeight="1">
      <c r="A119" s="583">
        <f t="shared" si="5"/>
        <v>54</v>
      </c>
      <c r="B119" s="105"/>
      <c r="C119" s="66">
        <f t="shared" si="6"/>
        <v>0</v>
      </c>
      <c r="D119" s="103">
        <f t="shared" si="7"/>
        <v>0</v>
      </c>
      <c r="E119" s="586"/>
      <c r="F119" s="143"/>
      <c r="G119" s="142"/>
      <c r="H119" s="584"/>
      <c r="I119" s="444"/>
      <c r="J119" s="68"/>
    </row>
    <row r="120" spans="1:10" ht="20.100000000000001" customHeight="1">
      <c r="A120" s="583">
        <f t="shared" si="5"/>
        <v>54</v>
      </c>
      <c r="B120" s="105"/>
      <c r="C120" s="66">
        <f t="shared" si="6"/>
        <v>0</v>
      </c>
      <c r="D120" s="103">
        <f t="shared" si="7"/>
        <v>0</v>
      </c>
      <c r="E120" s="586"/>
      <c r="F120" s="143"/>
      <c r="G120" s="142"/>
      <c r="H120" s="584"/>
      <c r="I120" s="444"/>
      <c r="J120" s="68"/>
    </row>
    <row r="121" spans="1:10" ht="20.100000000000001" customHeight="1">
      <c r="A121" s="583">
        <f t="shared" si="5"/>
        <v>54</v>
      </c>
      <c r="B121" s="105"/>
      <c r="C121" s="66">
        <f t="shared" si="6"/>
        <v>0</v>
      </c>
      <c r="D121" s="103">
        <f t="shared" si="7"/>
        <v>0</v>
      </c>
      <c r="E121" s="586"/>
      <c r="F121" s="143"/>
      <c r="G121" s="142"/>
      <c r="H121" s="584"/>
      <c r="I121" s="444"/>
      <c r="J121" s="68"/>
    </row>
    <row r="122" spans="1:10" ht="20.100000000000001" customHeight="1">
      <c r="A122" s="583">
        <f t="shared" si="5"/>
        <v>54</v>
      </c>
      <c r="B122" s="105"/>
      <c r="C122" s="66">
        <f t="shared" si="6"/>
        <v>0</v>
      </c>
      <c r="D122" s="103">
        <f t="shared" si="7"/>
        <v>0</v>
      </c>
      <c r="E122" s="586"/>
      <c r="F122" s="143"/>
      <c r="G122" s="142"/>
      <c r="H122" s="584"/>
      <c r="I122" s="444"/>
      <c r="J122" s="68"/>
    </row>
    <row r="123" spans="1:10" ht="20.100000000000001" customHeight="1">
      <c r="A123" s="583">
        <f t="shared" si="5"/>
        <v>54</v>
      </c>
      <c r="B123" s="105"/>
      <c r="C123" s="66">
        <f t="shared" si="6"/>
        <v>0</v>
      </c>
      <c r="D123" s="103">
        <f t="shared" si="7"/>
        <v>0</v>
      </c>
      <c r="E123" s="586"/>
      <c r="F123" s="143"/>
      <c r="G123" s="142"/>
      <c r="H123" s="584"/>
      <c r="I123" s="444"/>
      <c r="J123" s="68"/>
    </row>
    <row r="124" spans="1:10" ht="20.100000000000001" customHeight="1">
      <c r="A124" s="583">
        <f t="shared" si="5"/>
        <v>54</v>
      </c>
      <c r="B124" s="105"/>
      <c r="C124" s="66">
        <f t="shared" si="6"/>
        <v>0</v>
      </c>
      <c r="D124" s="103">
        <f t="shared" si="7"/>
        <v>0</v>
      </c>
      <c r="E124" s="586"/>
      <c r="F124" s="143"/>
      <c r="G124" s="142"/>
      <c r="H124" s="584"/>
      <c r="I124" s="444"/>
      <c r="J124" s="68"/>
    </row>
    <row r="125" spans="1:10" ht="20.100000000000001" customHeight="1">
      <c r="A125" s="583">
        <f t="shared" si="5"/>
        <v>54</v>
      </c>
      <c r="B125" s="105"/>
      <c r="C125" s="66">
        <f t="shared" si="6"/>
        <v>0</v>
      </c>
      <c r="D125" s="103">
        <f t="shared" si="7"/>
        <v>0</v>
      </c>
      <c r="E125" s="586"/>
      <c r="F125" s="143"/>
      <c r="G125" s="142"/>
      <c r="H125" s="584"/>
      <c r="I125" s="444"/>
      <c r="J125" s="68"/>
    </row>
    <row r="126" spans="1:10" ht="20.100000000000001" customHeight="1">
      <c r="A126" s="583">
        <f t="shared" si="5"/>
        <v>54</v>
      </c>
      <c r="B126" s="105"/>
      <c r="C126" s="66">
        <f t="shared" si="6"/>
        <v>0</v>
      </c>
      <c r="D126" s="103">
        <f t="shared" si="7"/>
        <v>0</v>
      </c>
      <c r="E126" s="586"/>
      <c r="F126" s="143"/>
      <c r="G126" s="142"/>
      <c r="H126" s="584"/>
      <c r="I126" s="444"/>
      <c r="J126" s="68"/>
    </row>
    <row r="127" spans="1:10" ht="20.100000000000001" customHeight="1">
      <c r="A127" s="583">
        <f t="shared" si="5"/>
        <v>54</v>
      </c>
      <c r="B127" s="105"/>
      <c r="C127" s="66">
        <f t="shared" si="6"/>
        <v>0</v>
      </c>
      <c r="D127" s="103">
        <f t="shared" si="7"/>
        <v>0</v>
      </c>
      <c r="E127" s="586"/>
      <c r="F127" s="143"/>
      <c r="G127" s="142"/>
      <c r="H127" s="584"/>
      <c r="I127" s="444"/>
      <c r="J127" s="68"/>
    </row>
    <row r="128" spans="1:10" ht="20.100000000000001" customHeight="1">
      <c r="A128" s="583">
        <f t="shared" si="5"/>
        <v>54</v>
      </c>
      <c r="B128" s="105"/>
      <c r="C128" s="66">
        <f t="shared" si="6"/>
        <v>0</v>
      </c>
      <c r="D128" s="103">
        <f t="shared" si="7"/>
        <v>0</v>
      </c>
      <c r="E128" s="586"/>
      <c r="F128" s="143"/>
      <c r="G128" s="142"/>
      <c r="H128" s="584"/>
      <c r="I128" s="444"/>
      <c r="J128" s="68"/>
    </row>
    <row r="129" spans="1:10" ht="20.100000000000001" customHeight="1">
      <c r="A129" s="583">
        <f t="shared" si="5"/>
        <v>54</v>
      </c>
      <c r="B129" s="105"/>
      <c r="C129" s="66">
        <f t="shared" si="6"/>
        <v>0</v>
      </c>
      <c r="D129" s="103">
        <f t="shared" si="7"/>
        <v>0</v>
      </c>
      <c r="E129" s="586"/>
      <c r="F129" s="143"/>
      <c r="G129" s="142"/>
      <c r="H129" s="584"/>
      <c r="I129" s="444"/>
      <c r="J129" s="68"/>
    </row>
    <row r="130" spans="1:10" ht="20.100000000000001" customHeight="1">
      <c r="A130" s="583">
        <f t="shared" si="5"/>
        <v>54</v>
      </c>
      <c r="B130" s="105"/>
      <c r="C130" s="66">
        <f t="shared" si="6"/>
        <v>0</v>
      </c>
      <c r="D130" s="103">
        <f t="shared" si="7"/>
        <v>0</v>
      </c>
      <c r="E130" s="586"/>
      <c r="F130" s="143"/>
      <c r="G130" s="142"/>
      <c r="H130" s="584"/>
      <c r="I130" s="444"/>
      <c r="J130" s="68"/>
    </row>
    <row r="131" spans="1:10" ht="20.100000000000001" customHeight="1">
      <c r="A131" s="583">
        <f t="shared" si="5"/>
        <v>54</v>
      </c>
      <c r="B131" s="105"/>
      <c r="C131" s="66">
        <f t="shared" ref="C131:C162" si="8">IFERROR(VLOOKUP(J131,T_Código_Items,2,FALSE),G131)</f>
        <v>0</v>
      </c>
      <c r="D131" s="103">
        <f t="shared" ref="D131:D162" si="9">IFERROR(VLOOKUP(J131,T_Código_Items,3,FALSE),H131)</f>
        <v>0</v>
      </c>
      <c r="E131" s="586"/>
      <c r="F131" s="143"/>
      <c r="G131" s="142"/>
      <c r="H131" s="584"/>
      <c r="I131" s="444"/>
      <c r="J131" s="68"/>
    </row>
    <row r="132" spans="1:10" ht="20.100000000000001" customHeight="1">
      <c r="A132" s="583">
        <f t="shared" si="5"/>
        <v>54</v>
      </c>
      <c r="B132" s="105"/>
      <c r="C132" s="66">
        <f t="shared" si="8"/>
        <v>0</v>
      </c>
      <c r="D132" s="103">
        <f t="shared" si="9"/>
        <v>0</v>
      </c>
      <c r="E132" s="586"/>
      <c r="F132" s="143"/>
      <c r="G132" s="142"/>
      <c r="H132" s="584"/>
      <c r="I132" s="444"/>
      <c r="J132" s="68"/>
    </row>
    <row r="133" spans="1:10" ht="20.100000000000001" customHeight="1">
      <c r="A133" s="583">
        <f t="shared" si="5"/>
        <v>54</v>
      </c>
      <c r="B133" s="105"/>
      <c r="C133" s="66">
        <f t="shared" si="8"/>
        <v>0</v>
      </c>
      <c r="D133" s="103">
        <f t="shared" si="9"/>
        <v>0</v>
      </c>
      <c r="E133" s="586"/>
      <c r="F133" s="143"/>
      <c r="G133" s="142"/>
      <c r="H133" s="584"/>
      <c r="I133" s="444"/>
      <c r="J133" s="68"/>
    </row>
    <row r="134" spans="1:10" ht="20.100000000000001" customHeight="1">
      <c r="A134" s="583">
        <f t="shared" si="5"/>
        <v>54</v>
      </c>
      <c r="B134" s="105"/>
      <c r="C134" s="66">
        <f t="shared" si="8"/>
        <v>0</v>
      </c>
      <c r="D134" s="103">
        <f t="shared" si="9"/>
        <v>0</v>
      </c>
      <c r="E134" s="586"/>
      <c r="F134" s="143"/>
      <c r="G134" s="142"/>
      <c r="H134" s="584"/>
      <c r="I134" s="444"/>
      <c r="J134" s="68"/>
    </row>
    <row r="135" spans="1:10" ht="20.100000000000001" customHeight="1">
      <c r="A135" s="583">
        <f t="shared" si="5"/>
        <v>54</v>
      </c>
      <c r="B135" s="105"/>
      <c r="C135" s="66">
        <f t="shared" si="8"/>
        <v>0</v>
      </c>
      <c r="D135" s="103">
        <f t="shared" si="9"/>
        <v>0</v>
      </c>
      <c r="E135" s="586"/>
      <c r="F135" s="143"/>
      <c r="G135" s="142"/>
      <c r="H135" s="584"/>
      <c r="I135" s="444"/>
      <c r="J135" s="68"/>
    </row>
    <row r="136" spans="1:10" ht="20.100000000000001" customHeight="1">
      <c r="A136" s="583">
        <f t="shared" si="5"/>
        <v>54</v>
      </c>
      <c r="B136" s="105"/>
      <c r="C136" s="66">
        <f t="shared" si="8"/>
        <v>0</v>
      </c>
      <c r="D136" s="103">
        <f t="shared" si="9"/>
        <v>0</v>
      </c>
      <c r="E136" s="586"/>
      <c r="F136" s="143"/>
      <c r="G136" s="142"/>
      <c r="H136" s="584"/>
      <c r="I136" s="444"/>
      <c r="J136" s="68"/>
    </row>
    <row r="137" spans="1:10" ht="20.100000000000001" customHeight="1">
      <c r="A137" s="583">
        <f t="shared" si="5"/>
        <v>54</v>
      </c>
      <c r="B137" s="105"/>
      <c r="C137" s="66">
        <f t="shared" si="8"/>
        <v>0</v>
      </c>
      <c r="D137" s="103">
        <f t="shared" si="9"/>
        <v>0</v>
      </c>
      <c r="E137" s="586"/>
      <c r="F137" s="143"/>
      <c r="G137" s="142"/>
      <c r="H137" s="584"/>
      <c r="I137" s="444"/>
      <c r="J137" s="68"/>
    </row>
    <row r="138" spans="1:10" ht="20.100000000000001" customHeight="1">
      <c r="A138" s="583">
        <f t="shared" si="5"/>
        <v>54</v>
      </c>
      <c r="B138" s="105"/>
      <c r="C138" s="66">
        <f t="shared" si="8"/>
        <v>0</v>
      </c>
      <c r="D138" s="103">
        <f t="shared" si="9"/>
        <v>0</v>
      </c>
      <c r="E138" s="586"/>
      <c r="F138" s="143"/>
      <c r="G138" s="142"/>
      <c r="H138" s="584"/>
      <c r="I138" s="444"/>
      <c r="J138" s="68"/>
    </row>
    <row r="139" spans="1:10" ht="20.100000000000001" customHeight="1">
      <c r="A139" s="583">
        <f t="shared" si="5"/>
        <v>54</v>
      </c>
      <c r="B139" s="105"/>
      <c r="C139" s="66">
        <f t="shared" si="8"/>
        <v>0</v>
      </c>
      <c r="D139" s="103">
        <f t="shared" si="9"/>
        <v>0</v>
      </c>
      <c r="E139" s="586"/>
      <c r="F139" s="143"/>
      <c r="G139" s="142"/>
      <c r="H139" s="584"/>
      <c r="I139" s="444"/>
      <c r="J139" s="68"/>
    </row>
    <row r="140" spans="1:10" ht="20.100000000000001" customHeight="1">
      <c r="A140" s="583">
        <f t="shared" si="5"/>
        <v>54</v>
      </c>
      <c r="B140" s="105"/>
      <c r="C140" s="66">
        <f t="shared" si="8"/>
        <v>0</v>
      </c>
      <c r="D140" s="103">
        <f t="shared" si="9"/>
        <v>0</v>
      </c>
      <c r="E140" s="586"/>
      <c r="F140" s="143"/>
      <c r="G140" s="142"/>
      <c r="H140" s="584"/>
      <c r="I140" s="444"/>
      <c r="J140" s="68"/>
    </row>
    <row r="141" spans="1:10" ht="20.100000000000001" customHeight="1">
      <c r="A141" s="583">
        <f t="shared" si="5"/>
        <v>54</v>
      </c>
      <c r="B141" s="105"/>
      <c r="C141" s="66">
        <f t="shared" si="8"/>
        <v>0</v>
      </c>
      <c r="D141" s="103">
        <f t="shared" si="9"/>
        <v>0</v>
      </c>
      <c r="E141" s="586"/>
      <c r="F141" s="143"/>
      <c r="G141" s="142"/>
      <c r="H141" s="584"/>
      <c r="I141" s="444"/>
      <c r="J141" s="68"/>
    </row>
    <row r="142" spans="1:10" ht="20.100000000000001" customHeight="1">
      <c r="A142" s="583">
        <f t="shared" si="5"/>
        <v>54</v>
      </c>
      <c r="B142" s="105"/>
      <c r="C142" s="66">
        <f t="shared" si="8"/>
        <v>0</v>
      </c>
      <c r="D142" s="103">
        <f t="shared" si="9"/>
        <v>0</v>
      </c>
      <c r="E142" s="586"/>
      <c r="F142" s="143"/>
      <c r="G142" s="142"/>
      <c r="H142" s="584"/>
      <c r="I142" s="444"/>
      <c r="J142" s="68"/>
    </row>
    <row r="143" spans="1:10" ht="20.100000000000001" customHeight="1">
      <c r="A143" s="583">
        <f t="shared" si="5"/>
        <v>54</v>
      </c>
      <c r="B143" s="105"/>
      <c r="C143" s="66">
        <f t="shared" si="8"/>
        <v>0</v>
      </c>
      <c r="D143" s="103">
        <f t="shared" si="9"/>
        <v>0</v>
      </c>
      <c r="E143" s="586"/>
      <c r="F143" s="143"/>
      <c r="G143" s="142"/>
      <c r="H143" s="584"/>
      <c r="I143" s="444"/>
      <c r="J143" s="68"/>
    </row>
    <row r="144" spans="1:10" ht="20.100000000000001" customHeight="1">
      <c r="A144" s="583">
        <f t="shared" si="5"/>
        <v>54</v>
      </c>
      <c r="B144" s="105"/>
      <c r="C144" s="66">
        <f t="shared" si="8"/>
        <v>0</v>
      </c>
      <c r="D144" s="103">
        <f t="shared" si="9"/>
        <v>0</v>
      </c>
      <c r="E144" s="586"/>
      <c r="F144" s="143"/>
      <c r="G144" s="142"/>
      <c r="H144" s="584"/>
      <c r="I144" s="444"/>
      <c r="J144" s="68"/>
    </row>
    <row r="145" spans="1:10" ht="20.100000000000001" customHeight="1">
      <c r="A145" s="583">
        <f t="shared" si="5"/>
        <v>54</v>
      </c>
      <c r="B145" s="105"/>
      <c r="C145" s="66">
        <f t="shared" si="8"/>
        <v>0</v>
      </c>
      <c r="D145" s="103">
        <f t="shared" si="9"/>
        <v>0</v>
      </c>
      <c r="E145" s="586"/>
      <c r="F145" s="143"/>
      <c r="G145" s="142"/>
      <c r="H145" s="584"/>
      <c r="I145" s="444"/>
      <c r="J145" s="68"/>
    </row>
    <row r="146" spans="1:10" ht="20.100000000000001" customHeight="1">
      <c r="A146" s="583">
        <f t="shared" si="5"/>
        <v>54</v>
      </c>
      <c r="B146" s="105"/>
      <c r="C146" s="66">
        <f t="shared" si="8"/>
        <v>0</v>
      </c>
      <c r="D146" s="103">
        <f t="shared" si="9"/>
        <v>0</v>
      </c>
      <c r="E146" s="586"/>
      <c r="F146" s="143"/>
      <c r="G146" s="142"/>
      <c r="H146" s="584"/>
      <c r="I146" s="444"/>
      <c r="J146" s="68"/>
    </row>
    <row r="147" spans="1:10" ht="20.100000000000001" customHeight="1">
      <c r="A147" s="583">
        <f t="shared" si="5"/>
        <v>54</v>
      </c>
      <c r="B147" s="105"/>
      <c r="C147" s="66">
        <f t="shared" si="8"/>
        <v>0</v>
      </c>
      <c r="D147" s="103">
        <f t="shared" si="9"/>
        <v>0</v>
      </c>
      <c r="E147" s="586"/>
      <c r="F147" s="143"/>
      <c r="G147" s="142"/>
      <c r="H147" s="584"/>
      <c r="I147" s="444"/>
      <c r="J147" s="68"/>
    </row>
    <row r="148" spans="1:10" ht="20.100000000000001" customHeight="1">
      <c r="A148" s="583">
        <f t="shared" si="5"/>
        <v>54</v>
      </c>
      <c r="B148" s="105"/>
      <c r="C148" s="66">
        <f t="shared" si="8"/>
        <v>0</v>
      </c>
      <c r="D148" s="103">
        <f t="shared" si="9"/>
        <v>0</v>
      </c>
      <c r="E148" s="586"/>
      <c r="F148" s="143"/>
      <c r="G148" s="142"/>
      <c r="H148" s="584"/>
      <c r="I148" s="444"/>
      <c r="J148" s="68"/>
    </row>
    <row r="149" spans="1:10" ht="20.100000000000001" customHeight="1">
      <c r="A149" s="583">
        <f t="shared" si="5"/>
        <v>54</v>
      </c>
      <c r="B149" s="105"/>
      <c r="C149" s="66">
        <f t="shared" si="8"/>
        <v>0</v>
      </c>
      <c r="D149" s="103">
        <f t="shared" si="9"/>
        <v>0</v>
      </c>
      <c r="E149" s="586"/>
      <c r="F149" s="143"/>
      <c r="G149" s="142"/>
      <c r="H149" s="584"/>
      <c r="I149" s="444"/>
      <c r="J149" s="68"/>
    </row>
    <row r="150" spans="1:10" ht="20.100000000000001" customHeight="1">
      <c r="A150" s="583">
        <f t="shared" si="5"/>
        <v>54</v>
      </c>
      <c r="B150" s="105"/>
      <c r="C150" s="66">
        <f t="shared" si="8"/>
        <v>0</v>
      </c>
      <c r="D150" s="103">
        <f t="shared" si="9"/>
        <v>0</v>
      </c>
      <c r="E150" s="586"/>
      <c r="F150" s="143"/>
      <c r="G150" s="142"/>
      <c r="H150" s="584"/>
      <c r="I150" s="444"/>
      <c r="J150" s="68"/>
    </row>
    <row r="151" spans="1:10" ht="20.100000000000001" customHeight="1">
      <c r="A151" s="583">
        <f t="shared" si="5"/>
        <v>54</v>
      </c>
      <c r="B151" s="105"/>
      <c r="C151" s="66">
        <f t="shared" si="8"/>
        <v>0</v>
      </c>
      <c r="D151" s="103">
        <f t="shared" si="9"/>
        <v>0</v>
      </c>
      <c r="E151" s="586"/>
      <c r="F151" s="143"/>
      <c r="G151" s="142"/>
      <c r="H151" s="584"/>
      <c r="I151" s="444"/>
      <c r="J151" s="68"/>
    </row>
    <row r="152" spans="1:10" ht="20.100000000000001" customHeight="1">
      <c r="A152" s="583">
        <f t="shared" si="5"/>
        <v>54</v>
      </c>
      <c r="B152" s="105"/>
      <c r="C152" s="66">
        <f t="shared" si="8"/>
        <v>0</v>
      </c>
      <c r="D152" s="103">
        <f t="shared" si="9"/>
        <v>0</v>
      </c>
      <c r="E152" s="586"/>
      <c r="F152" s="143"/>
      <c r="G152" s="142"/>
      <c r="H152" s="584"/>
      <c r="I152" s="444"/>
      <c r="J152" s="68"/>
    </row>
    <row r="153" spans="1:10" ht="20.100000000000001" customHeight="1">
      <c r="A153" s="583">
        <f t="shared" si="5"/>
        <v>54</v>
      </c>
      <c r="B153" s="105"/>
      <c r="C153" s="66">
        <f t="shared" si="8"/>
        <v>0</v>
      </c>
      <c r="D153" s="103">
        <f t="shared" si="9"/>
        <v>0</v>
      </c>
      <c r="E153" s="586"/>
      <c r="F153" s="143"/>
      <c r="G153" s="142"/>
      <c r="H153" s="584"/>
      <c r="I153" s="444"/>
      <c r="J153" s="68"/>
    </row>
    <row r="154" spans="1:10" ht="20.100000000000001" customHeight="1">
      <c r="A154" s="583">
        <f t="shared" si="5"/>
        <v>54</v>
      </c>
      <c r="B154" s="105"/>
      <c r="C154" s="66">
        <f t="shared" si="8"/>
        <v>0</v>
      </c>
      <c r="D154" s="103">
        <f t="shared" si="9"/>
        <v>0</v>
      </c>
      <c r="E154" s="586"/>
      <c r="F154" s="143"/>
      <c r="G154" s="142"/>
      <c r="H154" s="584"/>
      <c r="I154" s="444"/>
      <c r="J154" s="68"/>
    </row>
    <row r="155" spans="1:10" ht="20.100000000000001" customHeight="1">
      <c r="A155" s="583">
        <f t="shared" si="5"/>
        <v>54</v>
      </c>
      <c r="B155" s="105"/>
      <c r="C155" s="66">
        <f t="shared" si="8"/>
        <v>0</v>
      </c>
      <c r="D155" s="103">
        <f t="shared" si="9"/>
        <v>0</v>
      </c>
      <c r="E155" s="586"/>
      <c r="F155" s="143"/>
      <c r="G155" s="142"/>
      <c r="H155" s="584"/>
      <c r="I155" s="444"/>
      <c r="J155" s="68"/>
    </row>
    <row r="156" spans="1:10" ht="20.100000000000001" customHeight="1">
      <c r="A156" s="583">
        <f t="shared" si="5"/>
        <v>54</v>
      </c>
      <c r="B156" s="105"/>
      <c r="C156" s="66">
        <f t="shared" si="8"/>
        <v>0</v>
      </c>
      <c r="D156" s="103">
        <f t="shared" si="9"/>
        <v>0</v>
      </c>
      <c r="E156" s="586"/>
      <c r="F156" s="143"/>
      <c r="G156" s="142"/>
      <c r="H156" s="584"/>
      <c r="I156" s="444"/>
      <c r="J156" s="68"/>
    </row>
    <row r="157" spans="1:10" ht="20.100000000000001" customHeight="1">
      <c r="A157" s="583">
        <f t="shared" si="5"/>
        <v>54</v>
      </c>
      <c r="B157" s="105"/>
      <c r="C157" s="66">
        <f t="shared" si="8"/>
        <v>0</v>
      </c>
      <c r="D157" s="103">
        <f t="shared" si="9"/>
        <v>0</v>
      </c>
      <c r="E157" s="586"/>
      <c r="F157" s="143"/>
      <c r="G157" s="142"/>
      <c r="H157" s="584"/>
      <c r="I157" s="444"/>
      <c r="J157" s="68"/>
    </row>
    <row r="158" spans="1:10" ht="20.100000000000001" customHeight="1">
      <c r="A158" s="583">
        <f t="shared" si="5"/>
        <v>54</v>
      </c>
      <c r="B158" s="105"/>
      <c r="C158" s="66">
        <f t="shared" si="8"/>
        <v>0</v>
      </c>
      <c r="D158" s="103">
        <f t="shared" si="9"/>
        <v>0</v>
      </c>
      <c r="E158" s="586"/>
      <c r="F158" s="143"/>
      <c r="G158" s="142"/>
      <c r="H158" s="584"/>
      <c r="I158" s="444"/>
      <c r="J158" s="68"/>
    </row>
    <row r="159" spans="1:10" ht="20.100000000000001" customHeight="1">
      <c r="A159" s="583">
        <f t="shared" si="5"/>
        <v>54</v>
      </c>
      <c r="B159" s="105"/>
      <c r="C159" s="66">
        <f t="shared" si="8"/>
        <v>0</v>
      </c>
      <c r="D159" s="103">
        <f t="shared" si="9"/>
        <v>0</v>
      </c>
      <c r="E159" s="586"/>
      <c r="F159" s="143"/>
      <c r="G159" s="142"/>
      <c r="H159" s="584"/>
      <c r="I159" s="444"/>
      <c r="J159" s="68"/>
    </row>
    <row r="160" spans="1:10" ht="20.100000000000001" customHeight="1">
      <c r="A160" s="583">
        <f t="shared" si="5"/>
        <v>54</v>
      </c>
      <c r="B160" s="105"/>
      <c r="C160" s="66">
        <f t="shared" si="8"/>
        <v>0</v>
      </c>
      <c r="D160" s="103">
        <f t="shared" si="9"/>
        <v>0</v>
      </c>
      <c r="E160" s="586"/>
      <c r="F160" s="143"/>
      <c r="G160" s="142"/>
      <c r="H160" s="584"/>
      <c r="I160" s="444"/>
      <c r="J160" s="68"/>
    </row>
    <row r="161" spans="1:10" ht="20.100000000000001" customHeight="1">
      <c r="A161" s="583">
        <f t="shared" si="5"/>
        <v>54</v>
      </c>
      <c r="B161" s="105"/>
      <c r="C161" s="66">
        <f t="shared" si="8"/>
        <v>0</v>
      </c>
      <c r="D161" s="103">
        <f t="shared" si="9"/>
        <v>0</v>
      </c>
      <c r="E161" s="586"/>
      <c r="F161" s="143"/>
      <c r="G161" s="142"/>
      <c r="H161" s="584"/>
      <c r="I161" s="444"/>
      <c r="J161" s="68"/>
    </row>
    <row r="162" spans="1:10" ht="20.100000000000001" customHeight="1">
      <c r="A162" s="583">
        <f t="shared" si="5"/>
        <v>54</v>
      </c>
      <c r="B162" s="105"/>
      <c r="C162" s="66">
        <f t="shared" si="8"/>
        <v>0</v>
      </c>
      <c r="D162" s="103">
        <f t="shared" si="9"/>
        <v>0</v>
      </c>
      <c r="E162" s="586"/>
      <c r="F162" s="143"/>
      <c r="G162" s="142"/>
      <c r="H162" s="584"/>
      <c r="I162" s="444"/>
      <c r="J162" s="68"/>
    </row>
    <row r="163" spans="1:10" ht="20.100000000000001" customHeight="1">
      <c r="A163" s="583">
        <f t="shared" si="5"/>
        <v>54</v>
      </c>
      <c r="B163" s="105"/>
      <c r="C163" s="66">
        <f t="shared" ref="C163:C185" si="10">IFERROR(VLOOKUP(J163,T_Código_Items,2,FALSE),G163)</f>
        <v>0</v>
      </c>
      <c r="D163" s="103">
        <f t="shared" ref="D163:D185" si="11">IFERROR(VLOOKUP(J163,T_Código_Items,3,FALSE),H163)</f>
        <v>0</v>
      </c>
      <c r="E163" s="586"/>
      <c r="F163" s="143"/>
      <c r="G163" s="142"/>
      <c r="H163" s="584"/>
      <c r="I163" s="444"/>
      <c r="J163" s="68"/>
    </row>
    <row r="164" spans="1:10" ht="20.100000000000001" customHeight="1">
      <c r="A164" s="583">
        <f t="shared" si="5"/>
        <v>54</v>
      </c>
      <c r="B164" s="105"/>
      <c r="C164" s="66">
        <f t="shared" si="10"/>
        <v>0</v>
      </c>
      <c r="D164" s="103">
        <f t="shared" si="11"/>
        <v>0</v>
      </c>
      <c r="E164" s="586"/>
      <c r="F164" s="143"/>
      <c r="G164" s="142"/>
      <c r="H164" s="584"/>
      <c r="I164" s="444"/>
      <c r="J164" s="68"/>
    </row>
    <row r="165" spans="1:10" ht="20.100000000000001" customHeight="1">
      <c r="A165" s="583">
        <f t="shared" ref="A165:A185" si="12">IF(D165=0,A164,A164+1)</f>
        <v>54</v>
      </c>
      <c r="B165" s="105"/>
      <c r="C165" s="66">
        <f t="shared" si="10"/>
        <v>0</v>
      </c>
      <c r="D165" s="103">
        <f t="shared" si="11"/>
        <v>0</v>
      </c>
      <c r="E165" s="586"/>
      <c r="F165" s="143"/>
      <c r="G165" s="142"/>
      <c r="H165" s="584"/>
      <c r="I165" s="444"/>
      <c r="J165" s="68"/>
    </row>
    <row r="166" spans="1:10" ht="20.100000000000001" customHeight="1">
      <c r="A166" s="583">
        <f t="shared" si="12"/>
        <v>54</v>
      </c>
      <c r="B166" s="105"/>
      <c r="C166" s="66">
        <f t="shared" si="10"/>
        <v>0</v>
      </c>
      <c r="D166" s="103">
        <f t="shared" si="11"/>
        <v>0</v>
      </c>
      <c r="E166" s="586"/>
      <c r="F166" s="143"/>
      <c r="G166" s="142"/>
      <c r="H166" s="584"/>
      <c r="I166" s="444"/>
      <c r="J166" s="68"/>
    </row>
    <row r="167" spans="1:10" ht="20.100000000000001" customHeight="1">
      <c r="A167" s="583">
        <f t="shared" si="12"/>
        <v>54</v>
      </c>
      <c r="B167" s="105"/>
      <c r="C167" s="66">
        <f t="shared" si="10"/>
        <v>0</v>
      </c>
      <c r="D167" s="103">
        <f t="shared" si="11"/>
        <v>0</v>
      </c>
      <c r="E167" s="586"/>
      <c r="F167" s="143"/>
      <c r="G167" s="142"/>
      <c r="H167" s="584"/>
      <c r="I167" s="444"/>
      <c r="J167" s="68"/>
    </row>
    <row r="168" spans="1:10" ht="20.100000000000001" customHeight="1">
      <c r="A168" s="583">
        <f t="shared" si="12"/>
        <v>54</v>
      </c>
      <c r="B168" s="105"/>
      <c r="C168" s="66">
        <f t="shared" si="10"/>
        <v>0</v>
      </c>
      <c r="D168" s="103">
        <f t="shared" si="11"/>
        <v>0</v>
      </c>
      <c r="E168" s="586"/>
      <c r="F168" s="143"/>
      <c r="G168" s="142"/>
      <c r="H168" s="584"/>
      <c r="I168" s="444"/>
      <c r="J168" s="68"/>
    </row>
    <row r="169" spans="1:10" ht="20.100000000000001" customHeight="1">
      <c r="A169" s="583">
        <f t="shared" si="12"/>
        <v>54</v>
      </c>
      <c r="B169" s="105"/>
      <c r="C169" s="66">
        <f t="shared" si="10"/>
        <v>0</v>
      </c>
      <c r="D169" s="103">
        <f t="shared" si="11"/>
        <v>0</v>
      </c>
      <c r="E169" s="586"/>
      <c r="F169" s="143"/>
      <c r="G169" s="142"/>
      <c r="H169" s="584"/>
      <c r="I169" s="444"/>
      <c r="J169" s="68"/>
    </row>
    <row r="170" spans="1:10" ht="20.100000000000001" customHeight="1">
      <c r="A170" s="583">
        <f t="shared" si="12"/>
        <v>54</v>
      </c>
      <c r="B170" s="105"/>
      <c r="C170" s="66">
        <f t="shared" si="10"/>
        <v>0</v>
      </c>
      <c r="D170" s="103">
        <f t="shared" si="11"/>
        <v>0</v>
      </c>
      <c r="E170" s="586"/>
      <c r="F170" s="143"/>
      <c r="G170" s="142"/>
      <c r="H170" s="584"/>
      <c r="I170" s="444"/>
      <c r="J170" s="68"/>
    </row>
    <row r="171" spans="1:10" ht="20.100000000000001" customHeight="1">
      <c r="A171" s="583">
        <f t="shared" si="12"/>
        <v>54</v>
      </c>
      <c r="B171" s="105"/>
      <c r="C171" s="66">
        <f t="shared" si="10"/>
        <v>0</v>
      </c>
      <c r="D171" s="103">
        <f t="shared" si="11"/>
        <v>0</v>
      </c>
      <c r="E171" s="586"/>
      <c r="F171" s="143"/>
      <c r="G171" s="142"/>
      <c r="H171" s="584"/>
      <c r="I171" s="444"/>
      <c r="J171" s="68"/>
    </row>
    <row r="172" spans="1:10" ht="20.100000000000001" customHeight="1">
      <c r="A172" s="583">
        <f t="shared" si="12"/>
        <v>54</v>
      </c>
      <c r="B172" s="105"/>
      <c r="C172" s="66">
        <f t="shared" si="10"/>
        <v>0</v>
      </c>
      <c r="D172" s="103">
        <f t="shared" si="11"/>
        <v>0</v>
      </c>
      <c r="E172" s="586"/>
      <c r="F172" s="143"/>
      <c r="G172" s="142"/>
      <c r="H172" s="584"/>
      <c r="I172" s="444"/>
      <c r="J172" s="68"/>
    </row>
    <row r="173" spans="1:10" ht="20.100000000000001" customHeight="1">
      <c r="A173" s="583">
        <f t="shared" si="12"/>
        <v>54</v>
      </c>
      <c r="B173" s="105"/>
      <c r="C173" s="66">
        <f t="shared" si="10"/>
        <v>0</v>
      </c>
      <c r="D173" s="103">
        <f t="shared" si="11"/>
        <v>0</v>
      </c>
      <c r="E173" s="586"/>
      <c r="F173" s="143"/>
      <c r="G173" s="142"/>
      <c r="H173" s="584"/>
      <c r="I173" s="444"/>
      <c r="J173" s="68"/>
    </row>
    <row r="174" spans="1:10" ht="20.100000000000001" customHeight="1">
      <c r="A174" s="583">
        <f t="shared" si="12"/>
        <v>54</v>
      </c>
      <c r="B174" s="105"/>
      <c r="C174" s="66">
        <f t="shared" si="10"/>
        <v>0</v>
      </c>
      <c r="D174" s="103">
        <f t="shared" si="11"/>
        <v>0</v>
      </c>
      <c r="E174" s="586"/>
      <c r="F174" s="143"/>
      <c r="G174" s="142"/>
      <c r="H174" s="584"/>
      <c r="I174" s="444"/>
      <c r="J174" s="68"/>
    </row>
    <row r="175" spans="1:10" ht="20.100000000000001" customHeight="1">
      <c r="A175" s="583">
        <f t="shared" si="12"/>
        <v>54</v>
      </c>
      <c r="B175" s="105"/>
      <c r="C175" s="66">
        <f t="shared" si="10"/>
        <v>0</v>
      </c>
      <c r="D175" s="103">
        <f t="shared" si="11"/>
        <v>0</v>
      </c>
      <c r="E175" s="586"/>
      <c r="F175" s="143"/>
      <c r="G175" s="142"/>
      <c r="H175" s="584"/>
      <c r="I175" s="444"/>
      <c r="J175" s="68"/>
    </row>
    <row r="176" spans="1:10" ht="20.100000000000001" customHeight="1">
      <c r="A176" s="583">
        <f t="shared" si="12"/>
        <v>54</v>
      </c>
      <c r="B176" s="105"/>
      <c r="C176" s="66">
        <f t="shared" si="10"/>
        <v>0</v>
      </c>
      <c r="D176" s="103">
        <f t="shared" si="11"/>
        <v>0</v>
      </c>
      <c r="E176" s="586"/>
      <c r="F176" s="143"/>
      <c r="G176" s="142"/>
      <c r="H176" s="584"/>
      <c r="I176" s="444"/>
      <c r="J176" s="68"/>
    </row>
    <row r="177" spans="1:10" ht="20.100000000000001" customHeight="1">
      <c r="A177" s="583">
        <f t="shared" si="12"/>
        <v>54</v>
      </c>
      <c r="B177" s="105"/>
      <c r="C177" s="66">
        <f t="shared" si="10"/>
        <v>0</v>
      </c>
      <c r="D177" s="103">
        <f t="shared" si="11"/>
        <v>0</v>
      </c>
      <c r="E177" s="586"/>
      <c r="F177" s="143"/>
      <c r="G177" s="142"/>
      <c r="H177" s="584"/>
      <c r="I177" s="444"/>
      <c r="J177" s="68"/>
    </row>
    <row r="178" spans="1:10" ht="20.100000000000001" customHeight="1">
      <c r="A178" s="583">
        <f t="shared" si="12"/>
        <v>54</v>
      </c>
      <c r="B178" s="105"/>
      <c r="C178" s="66">
        <f t="shared" si="10"/>
        <v>0</v>
      </c>
      <c r="D178" s="103">
        <f t="shared" si="11"/>
        <v>0</v>
      </c>
      <c r="E178" s="586"/>
      <c r="F178" s="143"/>
      <c r="G178" s="142"/>
      <c r="H178" s="584"/>
      <c r="I178" s="444"/>
      <c r="J178" s="68"/>
    </row>
    <row r="179" spans="1:10" ht="20.100000000000001" customHeight="1">
      <c r="A179" s="583">
        <f t="shared" si="12"/>
        <v>54</v>
      </c>
      <c r="B179" s="105"/>
      <c r="C179" s="66">
        <f t="shared" si="10"/>
        <v>0</v>
      </c>
      <c r="D179" s="103">
        <f t="shared" si="11"/>
        <v>0</v>
      </c>
      <c r="E179" s="586"/>
      <c r="F179" s="143"/>
      <c r="G179" s="142"/>
      <c r="H179" s="584"/>
      <c r="I179" s="444"/>
      <c r="J179" s="68"/>
    </row>
    <row r="180" spans="1:10" ht="20.100000000000001" customHeight="1">
      <c r="A180" s="583">
        <f t="shared" si="12"/>
        <v>54</v>
      </c>
      <c r="B180" s="105"/>
      <c r="C180" s="66">
        <f t="shared" si="10"/>
        <v>0</v>
      </c>
      <c r="D180" s="103">
        <f t="shared" si="11"/>
        <v>0</v>
      </c>
      <c r="E180" s="586"/>
      <c r="F180" s="143"/>
      <c r="G180" s="142"/>
      <c r="H180" s="584"/>
      <c r="I180" s="444"/>
      <c r="J180" s="68"/>
    </row>
    <row r="181" spans="1:10" ht="20.100000000000001" customHeight="1">
      <c r="A181" s="583">
        <f t="shared" si="12"/>
        <v>54</v>
      </c>
      <c r="B181" s="105"/>
      <c r="C181" s="66">
        <f t="shared" si="10"/>
        <v>0</v>
      </c>
      <c r="D181" s="103">
        <f t="shared" si="11"/>
        <v>0</v>
      </c>
      <c r="E181" s="586"/>
      <c r="F181" s="143"/>
      <c r="G181" s="142"/>
      <c r="H181" s="584"/>
      <c r="I181" s="444"/>
      <c r="J181" s="68"/>
    </row>
    <row r="182" spans="1:10" ht="20.100000000000001" customHeight="1">
      <c r="A182" s="583">
        <f t="shared" si="12"/>
        <v>54</v>
      </c>
      <c r="B182" s="105"/>
      <c r="C182" s="66">
        <f t="shared" si="10"/>
        <v>0</v>
      </c>
      <c r="D182" s="103">
        <f t="shared" si="11"/>
        <v>0</v>
      </c>
      <c r="E182" s="586"/>
      <c r="F182" s="143"/>
      <c r="G182" s="142"/>
      <c r="H182" s="584"/>
      <c r="I182" s="444"/>
      <c r="J182" s="68"/>
    </row>
    <row r="183" spans="1:10" ht="20.100000000000001" customHeight="1">
      <c r="A183" s="583">
        <f t="shared" si="12"/>
        <v>54</v>
      </c>
      <c r="B183" s="105"/>
      <c r="C183" s="66">
        <f t="shared" si="10"/>
        <v>0</v>
      </c>
      <c r="D183" s="103">
        <f t="shared" si="11"/>
        <v>0</v>
      </c>
      <c r="E183" s="586"/>
      <c r="F183" s="143"/>
      <c r="G183" s="142"/>
      <c r="H183" s="584"/>
      <c r="I183" s="444"/>
      <c r="J183" s="68"/>
    </row>
    <row r="184" spans="1:10" ht="20.100000000000001" customHeight="1">
      <c r="A184" s="583">
        <f t="shared" si="12"/>
        <v>54</v>
      </c>
      <c r="B184" s="105"/>
      <c r="C184" s="66">
        <f t="shared" si="10"/>
        <v>0</v>
      </c>
      <c r="D184" s="103">
        <f t="shared" si="11"/>
        <v>0</v>
      </c>
      <c r="E184" s="586"/>
      <c r="F184" s="143"/>
      <c r="G184" s="142"/>
      <c r="H184" s="584"/>
      <c r="I184" s="444"/>
      <c r="J184" s="68"/>
    </row>
    <row r="185" spans="1:10" ht="20.100000000000001" customHeight="1">
      <c r="A185" s="583">
        <f t="shared" si="12"/>
        <v>54</v>
      </c>
      <c r="B185" s="105"/>
      <c r="C185" s="66">
        <f t="shared" si="10"/>
        <v>0</v>
      </c>
      <c r="D185" s="103">
        <f t="shared" si="11"/>
        <v>0</v>
      </c>
      <c r="E185" s="586"/>
      <c r="F185" s="143"/>
      <c r="G185" s="142"/>
      <c r="H185" s="584"/>
      <c r="I185" s="444"/>
      <c r="J185" s="68"/>
    </row>
    <row r="186" spans="1:10" ht="20.100000000000001" customHeight="1">
      <c r="H186" s="99"/>
      <c r="I186" s="444"/>
      <c r="J186" s="68"/>
    </row>
    <row r="187" spans="1:10" ht="20.100000000000001" customHeight="1">
      <c r="H187" s="99"/>
      <c r="I187" s="444"/>
      <c r="J187" s="68"/>
    </row>
    <row r="188" spans="1:10" ht="20.100000000000001" customHeight="1">
      <c r="H188" s="99"/>
      <c r="I188" s="444"/>
      <c r="J188" s="68"/>
    </row>
    <row r="189" spans="1:10" ht="20.100000000000001" customHeight="1">
      <c r="H189" s="99"/>
      <c r="I189" s="444"/>
      <c r="J189" s="68"/>
    </row>
    <row r="190" spans="1:10" ht="20.100000000000001" customHeight="1">
      <c r="H190" s="99"/>
      <c r="I190" s="444"/>
      <c r="J190" s="68"/>
    </row>
    <row r="191" spans="1:10" ht="20.100000000000001" customHeight="1">
      <c r="H191" s="99"/>
      <c r="I191" s="444"/>
      <c r="J191" s="68"/>
    </row>
    <row r="192" spans="1:10" ht="20.100000000000001" customHeight="1">
      <c r="H192" s="99"/>
      <c r="I192" s="444"/>
      <c r="J192" s="68"/>
    </row>
    <row r="193" spans="8:10" ht="20.100000000000001" customHeight="1">
      <c r="H193" s="99"/>
      <c r="I193" s="444"/>
      <c r="J193" s="68"/>
    </row>
    <row r="194" spans="8:10" ht="20.100000000000001" customHeight="1">
      <c r="H194" s="99"/>
      <c r="I194" s="444"/>
      <c r="J194" s="68"/>
    </row>
    <row r="195" spans="8:10" ht="20.100000000000001" customHeight="1">
      <c r="H195" s="99"/>
      <c r="I195" s="444"/>
      <c r="J195" s="68"/>
    </row>
    <row r="196" spans="8:10" ht="20.100000000000001" customHeight="1">
      <c r="H196" s="99"/>
      <c r="I196" s="444"/>
      <c r="J196" s="68"/>
    </row>
    <row r="197" spans="8:10" ht="20.100000000000001" customHeight="1">
      <c r="H197" s="99"/>
      <c r="I197" s="444"/>
      <c r="J197" s="68"/>
    </row>
    <row r="198" spans="8:10" ht="20.100000000000001" customHeight="1">
      <c r="H198" s="99"/>
      <c r="I198" s="444"/>
      <c r="J198" s="68"/>
    </row>
    <row r="199" spans="8:10" ht="20.100000000000001" customHeight="1">
      <c r="H199" s="99"/>
      <c r="I199" s="444"/>
      <c r="J199" s="68"/>
    </row>
    <row r="200" spans="8:10" ht="20.100000000000001" customHeight="1">
      <c r="H200" s="99"/>
      <c r="I200" s="444"/>
      <c r="J200" s="68"/>
    </row>
    <row r="201" spans="8:10" ht="20.100000000000001" customHeight="1">
      <c r="H201" s="99"/>
      <c r="I201" s="444"/>
      <c r="J201" s="68"/>
    </row>
    <row r="202" spans="8:10" ht="20.100000000000001" customHeight="1">
      <c r="H202" s="99"/>
      <c r="I202" s="444"/>
      <c r="J202" s="68"/>
    </row>
    <row r="203" spans="8:10" ht="20.100000000000001" customHeight="1">
      <c r="H203" s="99"/>
      <c r="I203" s="444"/>
      <c r="J203" s="68"/>
    </row>
    <row r="204" spans="8:10" ht="20.100000000000001" customHeight="1">
      <c r="H204" s="99"/>
      <c r="I204" s="444"/>
      <c r="J204" s="68"/>
    </row>
    <row r="205" spans="8:10" ht="20.100000000000001" customHeight="1">
      <c r="H205" s="99"/>
      <c r="I205" s="444"/>
      <c r="J205" s="68"/>
    </row>
    <row r="206" spans="8:10" ht="20.100000000000001" customHeight="1">
      <c r="H206" s="99"/>
      <c r="I206" s="444"/>
      <c r="J206" s="68"/>
    </row>
    <row r="207" spans="8:10" ht="20.100000000000001" customHeight="1">
      <c r="H207" s="99"/>
      <c r="I207" s="444"/>
      <c r="J207" s="68"/>
    </row>
    <row r="208" spans="8:10" ht="20.100000000000001" customHeight="1">
      <c r="H208" s="99"/>
      <c r="I208" s="444"/>
      <c r="J208" s="68"/>
    </row>
    <row r="209" spans="4:10" ht="20.100000000000001" customHeight="1">
      <c r="H209" s="99"/>
      <c r="I209" s="444"/>
      <c r="J209" s="68"/>
    </row>
    <row r="210" spans="4:10" ht="20.100000000000001" customHeight="1">
      <c r="H210" s="99"/>
      <c r="I210" s="444"/>
      <c r="J210" s="68"/>
    </row>
    <row r="211" spans="4:10" ht="20.100000000000001" customHeight="1">
      <c r="H211" s="99"/>
      <c r="I211" s="444"/>
      <c r="J211" s="68"/>
    </row>
    <row r="212" spans="4:10" ht="20.100000000000001" customHeight="1">
      <c r="H212" s="99"/>
      <c r="I212" s="444"/>
      <c r="J212" s="68"/>
    </row>
    <row r="213" spans="4:10" ht="20.100000000000001" customHeight="1">
      <c r="H213" s="99"/>
      <c r="I213" s="444"/>
      <c r="J213" s="68"/>
    </row>
    <row r="214" spans="4:10" ht="20.100000000000001" customHeight="1">
      <c r="H214" s="99"/>
      <c r="I214" s="444"/>
      <c r="J214" s="68"/>
    </row>
    <row r="215" spans="4:10" ht="20.100000000000001" customHeight="1">
      <c r="H215" s="99"/>
      <c r="I215" s="444"/>
      <c r="J215" s="68"/>
    </row>
    <row r="216" spans="4:10" ht="20.100000000000001" customHeight="1">
      <c r="H216" s="99"/>
      <c r="I216" s="444"/>
      <c r="J216" s="68"/>
    </row>
    <row r="217" spans="4:10" ht="20.100000000000001" customHeight="1">
      <c r="D217" s="68"/>
      <c r="E217" s="99"/>
      <c r="I217" s="99"/>
      <c r="J217" s="444"/>
    </row>
    <row r="218" spans="4:10" ht="20.100000000000001" customHeight="1">
      <c r="D218" s="68"/>
      <c r="E218" s="99"/>
      <c r="I218" s="99"/>
      <c r="J218" s="444"/>
    </row>
    <row r="219" spans="4:10" ht="20.100000000000001" customHeight="1">
      <c r="J219" s="444"/>
    </row>
    <row r="220" spans="4:10" ht="20.100000000000001" customHeight="1">
      <c r="J220" s="444"/>
    </row>
    <row r="221" spans="4:10" ht="20.100000000000001" customHeight="1">
      <c r="J221" s="444"/>
    </row>
    <row r="222" spans="4:10" ht="20.100000000000001" customHeight="1">
      <c r="J222" s="444"/>
    </row>
    <row r="223" spans="4:10" ht="20.100000000000001" customHeight="1">
      <c r="J223" s="444"/>
    </row>
    <row r="224" spans="4:10" ht="20.100000000000001" customHeight="1">
      <c r="J224" s="444"/>
    </row>
    <row r="225" spans="10:10" ht="20.100000000000001" customHeight="1">
      <c r="J225" s="444"/>
    </row>
    <row r="226" spans="10:10" ht="20.100000000000001" customHeight="1">
      <c r="J226" s="444"/>
    </row>
    <row r="227" spans="10:10" ht="20.100000000000001" customHeight="1">
      <c r="J227" s="444"/>
    </row>
    <row r="228" spans="10:10" ht="20.100000000000001" customHeight="1">
      <c r="J228" s="444"/>
    </row>
    <row r="229" spans="10:10" ht="20.100000000000001" customHeight="1">
      <c r="J229" s="444"/>
    </row>
    <row r="230" spans="10:10" ht="20.100000000000001" customHeight="1">
      <c r="J230" s="444"/>
    </row>
    <row r="231" spans="10:10" ht="20.100000000000001" customHeight="1">
      <c r="J231" s="444"/>
    </row>
    <row r="232" spans="10:10" ht="20.100000000000001" customHeight="1">
      <c r="J232" s="444"/>
    </row>
    <row r="233" spans="10:10" ht="20.100000000000001" customHeight="1">
      <c r="J233" s="444"/>
    </row>
    <row r="234" spans="10:10" ht="20.100000000000001" customHeight="1">
      <c r="J234" s="444"/>
    </row>
    <row r="235" spans="10:10" ht="20.100000000000001" customHeight="1">
      <c r="J235" s="444"/>
    </row>
    <row r="236" spans="10:10" ht="20.100000000000001" customHeight="1">
      <c r="J236" s="444"/>
    </row>
    <row r="237" spans="10:10" ht="20.100000000000001" customHeight="1">
      <c r="J237" s="444"/>
    </row>
    <row r="238" spans="10:10" ht="20.100000000000001" customHeight="1">
      <c r="J238" s="444"/>
    </row>
    <row r="239" spans="10:10" ht="20.100000000000001" customHeight="1">
      <c r="J239" s="444"/>
    </row>
    <row r="240" spans="10:10" ht="20.100000000000001" customHeight="1">
      <c r="J240" s="444"/>
    </row>
    <row r="241" spans="10:10" ht="20.100000000000001" customHeight="1">
      <c r="J241" s="444"/>
    </row>
    <row r="242" spans="10:10" ht="20.100000000000001" customHeight="1">
      <c r="J242" s="444"/>
    </row>
    <row r="243" spans="10:10" ht="20.100000000000001" customHeight="1">
      <c r="J243" s="444"/>
    </row>
    <row r="244" spans="10:10" ht="20.100000000000001" customHeight="1">
      <c r="J244" s="444"/>
    </row>
    <row r="245" spans="10:10" ht="20.100000000000001" customHeight="1">
      <c r="J245" s="444"/>
    </row>
    <row r="246" spans="10:10" ht="20.100000000000001" customHeight="1">
      <c r="J246" s="444"/>
    </row>
    <row r="247" spans="10:10" ht="20.100000000000001" customHeight="1">
      <c r="J247" s="444"/>
    </row>
    <row r="248" spans="10:10" ht="20.100000000000001" customHeight="1">
      <c r="J248" s="444"/>
    </row>
    <row r="249" spans="10:10" ht="20.100000000000001" customHeight="1">
      <c r="J249" s="444"/>
    </row>
    <row r="250" spans="10:10" ht="20.100000000000001" customHeight="1">
      <c r="J250" s="444"/>
    </row>
    <row r="251" spans="10:10" ht="20.100000000000001" customHeight="1">
      <c r="J251" s="444"/>
    </row>
    <row r="252" spans="10:10" ht="20.100000000000001" customHeight="1">
      <c r="J252" s="444"/>
    </row>
    <row r="253" spans="10:10" ht="20.100000000000001" customHeight="1">
      <c r="J253" s="444"/>
    </row>
    <row r="254" spans="10:10" ht="20.100000000000001" customHeight="1">
      <c r="J254" s="444"/>
    </row>
    <row r="255" spans="10:10" ht="20.100000000000001" customHeight="1">
      <c r="J255" s="444"/>
    </row>
    <row r="256" spans="10:10" ht="20.100000000000001" customHeight="1">
      <c r="J256" s="444"/>
    </row>
    <row r="257" spans="3:10" ht="20.100000000000001" customHeight="1">
      <c r="J257" s="444"/>
    </row>
    <row r="258" spans="3:10" ht="20.100000000000001" customHeight="1">
      <c r="J258" s="444"/>
    </row>
    <row r="259" spans="3:10" ht="20.100000000000001" customHeight="1">
      <c r="J259" s="444"/>
    </row>
    <row r="260" spans="3:10" ht="20.100000000000001" customHeight="1">
      <c r="J260" s="444"/>
    </row>
    <row r="261" spans="3:10" ht="20.100000000000001" customHeight="1">
      <c r="J261" s="444"/>
    </row>
    <row r="262" spans="3:10" ht="20.100000000000001" customHeight="1">
      <c r="J262" s="444"/>
    </row>
    <row r="263" spans="3:10" ht="20.100000000000001" customHeight="1">
      <c r="J263" s="444"/>
    </row>
    <row r="264" spans="3:10" ht="20.100000000000001" customHeight="1">
      <c r="C264" s="68">
        <v>5</v>
      </c>
      <c r="J264" s="444"/>
    </row>
    <row r="265" spans="3:10" ht="20.100000000000001" customHeight="1">
      <c r="J265" s="444"/>
    </row>
    <row r="266" spans="3:10" ht="20.100000000000001" customHeight="1">
      <c r="J266" s="444"/>
    </row>
    <row r="267" spans="3:10" ht="20.100000000000001" customHeight="1">
      <c r="J267" s="444"/>
    </row>
    <row r="268" spans="3:10" ht="20.100000000000001" customHeight="1">
      <c r="J268" s="444"/>
    </row>
    <row r="269" spans="3:10" ht="20.100000000000001" customHeight="1">
      <c r="J269" s="444"/>
    </row>
    <row r="270" spans="3:10" ht="20.100000000000001" customHeight="1">
      <c r="J270" s="444"/>
    </row>
    <row r="271" spans="3:10" ht="20.100000000000001" customHeight="1">
      <c r="J271" s="444"/>
    </row>
    <row r="272" spans="3:10" ht="20.100000000000001" customHeight="1">
      <c r="J272" s="444"/>
    </row>
    <row r="273" spans="10:10" ht="20.100000000000001" customHeight="1">
      <c r="J273" s="444"/>
    </row>
    <row r="274" spans="10:10" ht="20.100000000000001" customHeight="1">
      <c r="J274" s="444"/>
    </row>
    <row r="275" spans="10:10" ht="20.100000000000001" customHeight="1">
      <c r="J275" s="444"/>
    </row>
    <row r="276" spans="10:10" ht="20.100000000000001" customHeight="1">
      <c r="J276" s="444"/>
    </row>
    <row r="277" spans="10:10" ht="20.100000000000001" customHeight="1">
      <c r="J277" s="444"/>
    </row>
    <row r="278" spans="10:10" ht="20.100000000000001" customHeight="1">
      <c r="J278" s="444"/>
    </row>
    <row r="279" spans="10:10" ht="20.100000000000001" customHeight="1">
      <c r="J279" s="444"/>
    </row>
    <row r="280" spans="10:10" ht="20.100000000000001" customHeight="1">
      <c r="J280" s="444"/>
    </row>
    <row r="281" spans="10:10" ht="20.100000000000001" customHeight="1">
      <c r="J281" s="444"/>
    </row>
    <row r="282" spans="10:10" ht="20.100000000000001" customHeight="1">
      <c r="J282" s="444"/>
    </row>
    <row r="283" spans="10:10" ht="20.100000000000001" customHeight="1">
      <c r="J283" s="444"/>
    </row>
    <row r="284" spans="10:10" ht="20.100000000000001" customHeight="1">
      <c r="J284" s="444"/>
    </row>
    <row r="285" spans="10:10" ht="20.100000000000001" customHeight="1">
      <c r="J285" s="444"/>
    </row>
    <row r="286" spans="10:10" ht="20.100000000000001" customHeight="1">
      <c r="J286" s="444"/>
    </row>
    <row r="287" spans="10:10" ht="20.100000000000001" customHeight="1">
      <c r="J287" s="444"/>
    </row>
    <row r="288" spans="10:10" ht="20.100000000000001" customHeight="1">
      <c r="J288" s="444"/>
    </row>
    <row r="289" spans="10:10" ht="20.100000000000001" customHeight="1">
      <c r="J289" s="444"/>
    </row>
    <row r="290" spans="10:10" ht="20.100000000000001" customHeight="1">
      <c r="J290" s="444"/>
    </row>
    <row r="291" spans="10:10" ht="20.100000000000001" customHeight="1">
      <c r="J291" s="444"/>
    </row>
    <row r="292" spans="10:10" ht="20.100000000000001" customHeight="1">
      <c r="J292" s="444"/>
    </row>
    <row r="293" spans="10:10" ht="20.100000000000001" customHeight="1">
      <c r="J293" s="444"/>
    </row>
    <row r="294" spans="10:10" ht="20.100000000000001" customHeight="1">
      <c r="J294" s="444"/>
    </row>
    <row r="295" spans="10:10" ht="20.100000000000001" customHeight="1">
      <c r="J295" s="444"/>
    </row>
    <row r="296" spans="10:10" ht="20.100000000000001" customHeight="1">
      <c r="J296" s="444"/>
    </row>
    <row r="297" spans="10:10" ht="20.100000000000001" customHeight="1">
      <c r="J297" s="444"/>
    </row>
    <row r="298" spans="10:10" ht="20.100000000000001" customHeight="1">
      <c r="J298" s="444"/>
    </row>
    <row r="299" spans="10:10" ht="20.100000000000001" customHeight="1">
      <c r="J299" s="444"/>
    </row>
    <row r="300" spans="10:10" ht="20.100000000000001" customHeight="1">
      <c r="J300" s="444"/>
    </row>
    <row r="301" spans="10:10" ht="20.100000000000001" customHeight="1">
      <c r="J301" s="444"/>
    </row>
    <row r="302" spans="10:10" ht="20.100000000000001" customHeight="1">
      <c r="J302" s="444"/>
    </row>
    <row r="303" spans="10:10" ht="20.100000000000001" customHeight="1">
      <c r="J303" s="444"/>
    </row>
    <row r="304" spans="10:10" ht="20.100000000000001" customHeight="1">
      <c r="J304" s="444"/>
    </row>
    <row r="305" spans="3:10" ht="20.100000000000001" customHeight="1">
      <c r="J305" s="444"/>
    </row>
    <row r="306" spans="3:10" ht="20.100000000000001" customHeight="1">
      <c r="J306" s="444"/>
    </row>
    <row r="307" spans="3:10" ht="20.100000000000001" customHeight="1">
      <c r="J307" s="444"/>
    </row>
    <row r="308" spans="3:10" ht="20.100000000000001" customHeight="1">
      <c r="J308" s="444"/>
    </row>
    <row r="309" spans="3:10" ht="20.100000000000001" customHeight="1">
      <c r="J309" s="444"/>
    </row>
    <row r="310" spans="3:10" ht="20.100000000000001" customHeight="1">
      <c r="J310" s="444"/>
    </row>
    <row r="311" spans="3:10" ht="20.100000000000001" customHeight="1">
      <c r="J311" s="444"/>
    </row>
    <row r="312" spans="3:10" ht="20.100000000000001" customHeight="1">
      <c r="J312" s="444"/>
    </row>
    <row r="313" spans="3:10" ht="20.100000000000001" customHeight="1">
      <c r="J313" s="444"/>
    </row>
    <row r="314" spans="3:10" ht="20.100000000000001" customHeight="1">
      <c r="C314" s="68">
        <v>5</v>
      </c>
    </row>
    <row r="364" spans="3:3" ht="20.100000000000001" customHeight="1">
      <c r="C364" s="68">
        <v>5</v>
      </c>
    </row>
    <row r="414" spans="3:3" ht="20.100000000000001" customHeight="1">
      <c r="C414" s="68">
        <v>5</v>
      </c>
    </row>
    <row r="464" spans="3:3" ht="20.100000000000001" customHeight="1">
      <c r="C464" s="68">
        <v>5</v>
      </c>
    </row>
    <row r="514" spans="3:3" ht="20.100000000000001" customHeight="1">
      <c r="C514" s="68">
        <v>5</v>
      </c>
    </row>
    <row r="564" spans="3:3" ht="20.100000000000001" customHeight="1">
      <c r="C564" s="68">
        <v>5</v>
      </c>
    </row>
    <row r="614" spans="3:3" ht="20.100000000000001" customHeight="1">
      <c r="C614" s="68">
        <v>5</v>
      </c>
    </row>
    <row r="664" spans="3:3" ht="20.100000000000001" customHeight="1">
      <c r="C664" s="68">
        <v>5</v>
      </c>
    </row>
    <row r="714" spans="3:3" ht="20.100000000000001" customHeight="1">
      <c r="C714" s="68">
        <v>5</v>
      </c>
    </row>
    <row r="764" spans="3:3" ht="20.100000000000001" customHeight="1">
      <c r="C764" s="68">
        <v>5</v>
      </c>
    </row>
    <row r="814" spans="3:3" ht="20.100000000000001" customHeight="1">
      <c r="C814" s="68">
        <v>5</v>
      </c>
    </row>
    <row r="815" spans="3:3" ht="20.100000000000001" customHeight="1">
      <c r="C815" s="68" t="e">
        <f>Datos!#REF!</f>
        <v>#REF!</v>
      </c>
    </row>
    <row r="864" spans="3:3" ht="20.100000000000001" customHeight="1">
      <c r="C864" s="68">
        <v>5</v>
      </c>
    </row>
    <row r="865" spans="3:3" ht="20.100000000000001" customHeight="1">
      <c r="C865" s="68" t="e">
        <f>Datos!#REF!</f>
        <v>#REF!</v>
      </c>
    </row>
    <row r="914" spans="3:3" ht="20.100000000000001" customHeight="1">
      <c r="C914" s="68">
        <v>5</v>
      </c>
    </row>
    <row r="915" spans="3:3" ht="20.100000000000001" customHeight="1">
      <c r="C915" s="68" t="e">
        <f>Datos!#REF!</f>
        <v>#REF!</v>
      </c>
    </row>
    <row r="964" spans="3:3" ht="20.100000000000001" customHeight="1">
      <c r="C964" s="68">
        <v>5</v>
      </c>
    </row>
    <row r="965" spans="3:3" ht="20.100000000000001" customHeight="1">
      <c r="C965" s="68" t="e">
        <f>Datos!#REF!</f>
        <v>#REF!</v>
      </c>
    </row>
    <row r="1015" spans="3:3" ht="20.100000000000001" customHeight="1">
      <c r="C1015" s="68" t="e">
        <f>Datos!#REF!</f>
        <v>#REF!</v>
      </c>
    </row>
    <row r="1064" spans="3:3" ht="20.100000000000001" customHeight="1">
      <c r="C1064" s="68">
        <v>7</v>
      </c>
    </row>
    <row r="1065" spans="3:3" ht="20.100000000000001" customHeight="1">
      <c r="C1065" s="68" t="e">
        <f>Datos!#REF!</f>
        <v>#REF!</v>
      </c>
    </row>
    <row r="1115" spans="3:3" ht="20.100000000000001" customHeight="1">
      <c r="C1115" s="68" t="e">
        <f>Datos!#REF!</f>
        <v>#REF!</v>
      </c>
    </row>
    <row r="1164" spans="3:3" ht="20.100000000000001" customHeight="1">
      <c r="C1164" s="68">
        <v>8</v>
      </c>
    </row>
    <row r="1165" spans="3:3" ht="20.100000000000001" customHeight="1">
      <c r="C1165" s="68" t="e">
        <f>Datos!#REF!</f>
        <v>#REF!</v>
      </c>
    </row>
    <row r="1214" spans="3:3" ht="20.100000000000001" customHeight="1">
      <c r="C1214" s="68">
        <v>8</v>
      </c>
    </row>
    <row r="1215" spans="3:3" ht="20.100000000000001" customHeight="1">
      <c r="C1215" s="68" t="e">
        <f>Datos!#REF!</f>
        <v>#REF!</v>
      </c>
    </row>
    <row r="1264" spans="3:3" ht="20.100000000000001" customHeight="1">
      <c r="C1264" s="68">
        <v>8</v>
      </c>
    </row>
    <row r="1265" spans="3:3" ht="20.100000000000001" customHeight="1">
      <c r="C1265" s="68" t="e">
        <f>Datos!#REF!</f>
        <v>#REF!</v>
      </c>
    </row>
    <row r="1314" spans="3:3" ht="20.100000000000001" customHeight="1">
      <c r="C1314" s="68">
        <v>8</v>
      </c>
    </row>
    <row r="1315" spans="3:3" ht="20.100000000000001" customHeight="1">
      <c r="C1315" s="68" t="e">
        <f>Datos!#REF!</f>
        <v>#REF!</v>
      </c>
    </row>
    <row r="1364" spans="3:3" ht="20.100000000000001" customHeight="1">
      <c r="C1364" s="68">
        <v>8</v>
      </c>
    </row>
    <row r="1365" spans="3:3" ht="20.100000000000001" customHeight="1">
      <c r="C1365" s="68" t="e">
        <f>Datos!#REF!</f>
        <v>#REF!</v>
      </c>
    </row>
    <row r="1415" spans="3:3" ht="20.100000000000001" customHeight="1">
      <c r="C1415" s="68" t="e">
        <f>Datos!#REF!</f>
        <v>#REF!</v>
      </c>
    </row>
    <row r="1465" spans="3:3" ht="20.100000000000001" customHeight="1">
      <c r="C1465" s="68" t="e">
        <f>Datos!#REF!</f>
        <v>#REF!</v>
      </c>
    </row>
    <row r="1515" spans="3:3" ht="20.100000000000001" customHeight="1">
      <c r="C1515" s="68" t="e">
        <f>Datos!#REF!</f>
        <v>#REF!</v>
      </c>
    </row>
    <row r="1564" spans="3:3" ht="20.100000000000001" customHeight="1">
      <c r="C1564" s="68">
        <v>12</v>
      </c>
    </row>
    <row r="1565" spans="3:3" ht="20.100000000000001" customHeight="1">
      <c r="C1565" s="68" t="e">
        <f>Datos!#REF!</f>
        <v>#REF!</v>
      </c>
    </row>
    <row r="1614" spans="3:3" ht="20.100000000000001" customHeight="1">
      <c r="C1614" s="68">
        <v>12</v>
      </c>
    </row>
    <row r="1615" spans="3:3" ht="20.100000000000001" customHeight="1">
      <c r="C1615" s="68" t="e">
        <f>Datos!#REF!</f>
        <v>#REF!</v>
      </c>
    </row>
    <row r="1664" spans="3:3" ht="20.100000000000001" customHeight="1">
      <c r="C1664" s="68">
        <v>12</v>
      </c>
    </row>
    <row r="1665" spans="3:3" ht="20.100000000000001" customHeight="1">
      <c r="C1665" s="68" t="e">
        <f>Datos!#REF!</f>
        <v>#REF!</v>
      </c>
    </row>
    <row r="1714" spans="3:3" ht="20.100000000000001" customHeight="1">
      <c r="C1714" s="68">
        <v>12</v>
      </c>
    </row>
    <row r="1715" spans="3:3" ht="20.100000000000001" customHeight="1">
      <c r="C1715" s="68" t="e">
        <f>Datos!#REF!</f>
        <v>#REF!</v>
      </c>
    </row>
    <row r="1764" spans="3:3" ht="20.100000000000001" customHeight="1">
      <c r="C1764" s="68">
        <v>12</v>
      </c>
    </row>
    <row r="1765" spans="3:3" ht="20.100000000000001" customHeight="1">
      <c r="C1765" s="68" t="e">
        <f>Datos!#REF!</f>
        <v>#REF!</v>
      </c>
    </row>
    <row r="1814" spans="3:3" ht="20.100000000000001" customHeight="1">
      <c r="C1814" s="68">
        <v>13</v>
      </c>
    </row>
    <row r="1815" spans="3:3" ht="20.100000000000001" customHeight="1">
      <c r="C1815" s="68" t="e">
        <f>Datos!#REF!</f>
        <v>#REF!</v>
      </c>
    </row>
    <row r="1864" spans="3:3" ht="20.100000000000001" customHeight="1">
      <c r="C1864" s="68">
        <v>13</v>
      </c>
    </row>
    <row r="1865" spans="3:3" ht="20.100000000000001" customHeight="1">
      <c r="C1865" s="68" t="e">
        <f>Datos!#REF!</f>
        <v>#REF!</v>
      </c>
    </row>
  </sheetData>
  <mergeCells count="4">
    <mergeCell ref="G33:H33"/>
    <mergeCell ref="A1:D1"/>
    <mergeCell ref="A16:E16"/>
    <mergeCell ref="B32:E32"/>
  </mergeCells>
  <conditionalFormatting sqref="D26:D29">
    <cfRule type="expression" dxfId="158" priority="22" stopIfTrue="1">
      <formula>#REF!=1</formula>
    </cfRule>
  </conditionalFormatting>
  <conditionalFormatting sqref="B36 B38:B54 B56:B58 B60:B79 B81:B185">
    <cfRule type="expression" dxfId="157" priority="23" stopIfTrue="1">
      <formula>#REF!&gt;0</formula>
    </cfRule>
    <cfRule type="expression" dxfId="156" priority="24" stopIfTrue="1">
      <formula>#REF!&gt;0</formula>
    </cfRule>
    <cfRule type="expression" dxfId="155" priority="25" stopIfTrue="1">
      <formula>#REF!&gt;0</formula>
    </cfRule>
  </conditionalFormatting>
  <conditionalFormatting sqref="D26:D29">
    <cfRule type="expression" dxfId="154" priority="26" stopIfTrue="1">
      <formula>#REF!=1</formula>
    </cfRule>
  </conditionalFormatting>
  <conditionalFormatting sqref="C36:C185">
    <cfRule type="expression" dxfId="153" priority="19" stopIfTrue="1">
      <formula>#REF!&gt;0</formula>
    </cfRule>
    <cfRule type="expression" dxfId="152" priority="20" stopIfTrue="1">
      <formula>#REF!&gt;0</formula>
    </cfRule>
    <cfRule type="expression" dxfId="151" priority="21" stopIfTrue="1">
      <formula>#REF!&gt;0</formula>
    </cfRule>
  </conditionalFormatting>
  <conditionalFormatting sqref="B38:B54 B56:B58 B60:B79 B81:B102">
    <cfRule type="expression" dxfId="150" priority="16" stopIfTrue="1">
      <formula>#REF!&gt;0</formula>
    </cfRule>
    <cfRule type="expression" dxfId="149" priority="17" stopIfTrue="1">
      <formula>#REF!&gt;0</formula>
    </cfRule>
    <cfRule type="expression" dxfId="148" priority="18" stopIfTrue="1">
      <formula>#REF!&gt;0</formula>
    </cfRule>
  </conditionalFormatting>
  <conditionalFormatting sqref="B37">
    <cfRule type="expression" dxfId="147" priority="13" stopIfTrue="1">
      <formula>#REF!&gt;0</formula>
    </cfRule>
    <cfRule type="expression" dxfId="146" priority="14" stopIfTrue="1">
      <formula>#REF!&gt;0</formula>
    </cfRule>
    <cfRule type="expression" dxfId="145" priority="15" stopIfTrue="1">
      <formula>#REF!&gt;0</formula>
    </cfRule>
  </conditionalFormatting>
  <conditionalFormatting sqref="B55">
    <cfRule type="expression" dxfId="144" priority="10" stopIfTrue="1">
      <formula>#REF!&gt;0</formula>
    </cfRule>
    <cfRule type="expression" dxfId="143" priority="11" stopIfTrue="1">
      <formula>#REF!&gt;0</formula>
    </cfRule>
    <cfRule type="expression" dxfId="142" priority="12" stopIfTrue="1">
      <formula>#REF!&gt;0</formula>
    </cfRule>
  </conditionalFormatting>
  <conditionalFormatting sqref="B59">
    <cfRule type="expression" dxfId="141" priority="7" stopIfTrue="1">
      <formula>#REF!&gt;0</formula>
    </cfRule>
    <cfRule type="expression" dxfId="140" priority="8" stopIfTrue="1">
      <formula>#REF!&gt;0</formula>
    </cfRule>
    <cfRule type="expression" dxfId="139" priority="9" stopIfTrue="1">
      <formula>#REF!&gt;0</formula>
    </cfRule>
  </conditionalFormatting>
  <conditionalFormatting sqref="B80">
    <cfRule type="expression" dxfId="138" priority="4" stopIfTrue="1">
      <formula>#REF!&gt;0</formula>
    </cfRule>
    <cfRule type="expression" dxfId="137" priority="5" stopIfTrue="1">
      <formula>#REF!&gt;0</formula>
    </cfRule>
    <cfRule type="expression" dxfId="136" priority="6" stopIfTrue="1">
      <formula>#REF!&gt;0</formula>
    </cfRule>
  </conditionalFormatting>
  <conditionalFormatting sqref="B103">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37" zoomScale="90" zoomScaleNormal="100" zoomScaleSheetLayoutView="90" workbookViewId="0">
      <selection activeCell="B82" sqref="B82"/>
    </sheetView>
  </sheetViews>
  <sheetFormatPr baseColWidth="10" defaultColWidth="11.42578125" defaultRowHeight="19.5" customHeight="1"/>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c r="A1" s="666" t="str">
        <f>Obra</f>
        <v>MEJORA DE LA RED DE RIEGO DEL VALLE DE JÁCHAL</v>
      </c>
      <c r="B1" s="666"/>
      <c r="C1" s="666"/>
      <c r="D1" s="666"/>
      <c r="E1" s="666"/>
      <c r="F1" s="666"/>
      <c r="G1" s="666"/>
    </row>
    <row r="2" spans="1:9" ht="15" customHeight="1">
      <c r="A2" s="669" t="str">
        <f>IF(Tramo=0,"","TRAMO: "&amp;Tramo)</f>
        <v/>
      </c>
      <c r="B2" s="669"/>
      <c r="C2" s="669"/>
      <c r="D2" s="669"/>
      <c r="E2" s="669"/>
      <c r="F2" s="669"/>
      <c r="G2" s="669"/>
    </row>
    <row r="3" spans="1:9" ht="15" customHeight="1">
      <c r="A3" s="669" t="str">
        <f>IF(Sección_I=0,"","SECCIÓN I: "&amp;Sección_I)</f>
        <v/>
      </c>
      <c r="B3" s="669"/>
      <c r="C3" s="669"/>
      <c r="D3" s="669"/>
      <c r="E3" s="669"/>
      <c r="F3" s="669"/>
      <c r="G3" s="669"/>
    </row>
    <row r="4" spans="1:9" ht="15" customHeight="1">
      <c r="A4" s="669" t="str">
        <f>IF(Sección_II=0,"","SECCIÓN II: "&amp;Sección_II)</f>
        <v/>
      </c>
      <c r="B4" s="669"/>
      <c r="C4" s="669"/>
      <c r="D4" s="669"/>
      <c r="E4" s="669"/>
      <c r="F4" s="669"/>
      <c r="G4" s="669"/>
    </row>
    <row r="5" spans="1:9" ht="15" customHeight="1">
      <c r="A5" s="669" t="str">
        <f>IF(Sección_III=0,"","SECCIÓN III: "&amp;Sección_III)</f>
        <v/>
      </c>
      <c r="B5" s="669"/>
      <c r="C5" s="669"/>
      <c r="D5" s="669"/>
      <c r="E5" s="669"/>
      <c r="F5" s="669"/>
      <c r="G5" s="669"/>
    </row>
    <row r="6" spans="1:9" ht="15" customHeight="1">
      <c r="A6" s="669" t="str">
        <f>IF(Ubicación=0,"","DEPARTAMENTO: "&amp;Ubicación)</f>
        <v>DEPARTAMENTO: JACHAL</v>
      </c>
      <c r="B6" s="669"/>
      <c r="C6" s="669"/>
      <c r="D6" s="669"/>
      <c r="E6" s="669"/>
      <c r="F6" s="669"/>
      <c r="G6" s="669"/>
    </row>
    <row r="7" spans="1:9" ht="19.5" customHeight="1">
      <c r="A7" s="147"/>
      <c r="B7" s="147"/>
      <c r="C7" s="147"/>
      <c r="D7" s="147"/>
      <c r="E7" s="147"/>
      <c r="F7" s="147"/>
      <c r="G7" s="147"/>
    </row>
    <row r="8" spans="1:9" ht="19.5" customHeight="1">
      <c r="A8" s="148" t="s">
        <v>985</v>
      </c>
      <c r="B8" s="149"/>
      <c r="C8" s="149"/>
      <c r="D8" s="149"/>
      <c r="E8" s="149"/>
      <c r="F8" s="149"/>
      <c r="G8" s="150"/>
    </row>
    <row r="9" spans="1:9" s="152" customFormat="1" ht="30" customHeight="1">
      <c r="A9" s="151"/>
      <c r="C9" s="153"/>
      <c r="D9" s="153"/>
      <c r="E9" s="151" t="str">
        <f>IF(Fecha_Base=0,"San Juan, ______________________"&amp;" de _____","San Juan, "&amp;TEXT(Fecha_Base,"dd")&amp;" de "&amp;TEXT(Fecha_Base,"mmmm")&amp;" de "&amp;TEXT(Fecha_Base,"yyyy"))</f>
        <v>San Juan, XX/07/2020 de XX/07/2020 de XX/07/2020</v>
      </c>
    </row>
    <row r="10" spans="1:9" s="5" customFormat="1" ht="69.75" customHeight="1">
      <c r="B10" s="154" t="s">
        <v>991</v>
      </c>
      <c r="C10" s="154"/>
      <c r="D10" s="154"/>
      <c r="E10" s="154"/>
      <c r="F10" s="154"/>
      <c r="G10" s="154"/>
    </row>
    <row r="11" spans="1:9" s="5" customFormat="1" ht="80.099999999999994" customHeight="1">
      <c r="B11" s="67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72"/>
      <c r="D11" s="672"/>
      <c r="E11" s="672"/>
      <c r="F11" s="672"/>
      <c r="G11" s="672"/>
    </row>
    <row r="12" spans="1:9" s="5" customFormat="1" ht="19.5" customHeight="1">
      <c r="A12" s="11"/>
      <c r="B12" s="12"/>
      <c r="I12" s="435" t="s">
        <v>992</v>
      </c>
    </row>
    <row r="13" spans="1:9" ht="20.100000000000001" customHeight="1">
      <c r="A13" s="667" t="s">
        <v>893</v>
      </c>
      <c r="B13" s="668" t="s">
        <v>0</v>
      </c>
      <c r="C13" s="667" t="s">
        <v>1</v>
      </c>
      <c r="D13" s="667" t="s">
        <v>2</v>
      </c>
      <c r="E13" s="668" t="s">
        <v>986</v>
      </c>
      <c r="F13" s="668"/>
      <c r="G13" s="667" t="s">
        <v>937</v>
      </c>
      <c r="I13" s="435"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c r="A14" s="667"/>
      <c r="B14" s="668"/>
      <c r="C14" s="667"/>
      <c r="D14" s="667"/>
      <c r="E14" s="433" t="s">
        <v>987</v>
      </c>
      <c r="F14" s="433" t="s">
        <v>988</v>
      </c>
      <c r="G14" s="667"/>
      <c r="I14" s="436"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c r="A15" s="155"/>
      <c r="B15" s="431"/>
      <c r="C15" s="155"/>
      <c r="D15" s="155"/>
      <c r="E15" s="431"/>
      <c r="F15" s="431"/>
    </row>
    <row r="16" spans="1:9" ht="30" customHeight="1">
      <c r="A16" s="51">
        <f ca="1">INDIRECT("Datos!B"&amp;MATCH("RUBRO ITEM",Datos!B:B,0)+ROW()-MATCH("RUBRO ITEM",A:A,0)-1)</f>
        <v>1</v>
      </c>
      <c r="B16" s="396" t="str">
        <f t="shared" ref="B16" ca="1" si="0">IFERROR(VLOOKUP(A16,T_Computo_Presupuesto,2,FALSE),"")</f>
        <v>PROYECTO EJECUTIVO</v>
      </c>
      <c r="C16" s="156" t="str">
        <f t="shared" ref="C16" ca="1" si="1">IFERROR(VLOOKUP(A16,T_Computo_Presupuesto,4,FALSE),"")</f>
        <v>gl.</v>
      </c>
      <c r="D16" s="397">
        <f t="shared" ref="D16" ca="1" si="2">IFERROR(VLOOKUP(A16,T_Computo_Presupuesto,5,FALSE),"")</f>
        <v>1</v>
      </c>
      <c r="E16" s="398" t="str">
        <f t="shared" ref="E16" ca="1" si="3">IF(F16=0,"",CONVERTIRNUM(F16))</f>
        <v/>
      </c>
      <c r="F16" s="399">
        <f t="shared" ref="F16:F17" ca="1" si="4">IFERROR(VLOOKUP(A16,T_Computo_Presupuesto,7,FALSE),0)</f>
        <v>0</v>
      </c>
      <c r="G16" s="399">
        <f ca="1">ROUND(D16*F16,2)</f>
        <v>0</v>
      </c>
    </row>
    <row r="17" spans="1:7" ht="30" customHeight="1">
      <c r="A17" s="51">
        <f ca="1">INDIRECT("Datos!B"&amp;MATCH("RUBRO ITEM",Datos!B:B,0)+ROW()-MATCH("RUBRO ITEM",A:A,0)-1)</f>
        <v>2</v>
      </c>
      <c r="B17" s="396" t="str">
        <f t="shared" ref="B17:B75" ca="1" si="5">IFERROR(VLOOKUP(A17,T_Computo_Presupuesto,2,FALSE),"")</f>
        <v>TAREAS GENERALES</v>
      </c>
      <c r="C17" s="156">
        <f t="shared" ref="C17:C75" ca="1" si="6">IFERROR(VLOOKUP(A17,T_Computo_Presupuesto,4,FALSE),"")</f>
        <v>0</v>
      </c>
      <c r="D17" s="397">
        <f t="shared" ref="D17:D75" ca="1" si="7">IFERROR(VLOOKUP(A17,T_Computo_Presupuesto,5,FALSE),"")</f>
        <v>0</v>
      </c>
      <c r="E17" s="398" t="str">
        <f t="shared" ref="E17" ca="1" si="8">IF(F17=0,"",CONVERTIRNUM(F17))</f>
        <v/>
      </c>
      <c r="F17" s="399">
        <f t="shared" ca="1" si="4"/>
        <v>0</v>
      </c>
      <c r="G17" s="399">
        <f t="shared" ref="G17" ca="1" si="9">ROUND(D17*F17,2)</f>
        <v>0</v>
      </c>
    </row>
    <row r="18" spans="1:7" ht="30" customHeight="1">
      <c r="A18" s="51" t="str">
        <f ca="1">INDIRECT("Datos!B"&amp;MATCH("RUBRO ITEM",Datos!B:B,0)+ROW()-MATCH("RUBRO ITEM",A:A,0)-1)</f>
        <v>2.1</v>
      </c>
      <c r="B18" s="396" t="str">
        <f t="shared" ca="1" si="5"/>
        <v>Limpieza inicial y Relevamientos Topograficos</v>
      </c>
      <c r="C18" s="156" t="str">
        <f t="shared" ca="1" si="6"/>
        <v>gl.</v>
      </c>
      <c r="D18" s="397">
        <f t="shared" ca="1" si="7"/>
        <v>1</v>
      </c>
      <c r="E18" s="398" t="str">
        <f t="shared" ref="E18:E81" ca="1" si="10">IF(F18=0,"",CONVERTIRNUM(F18))</f>
        <v/>
      </c>
      <c r="F18" s="399">
        <f t="shared" ref="F18:F81" ca="1" si="11">IFERROR(VLOOKUP(A18,T_Computo_Presupuesto,7,FALSE),0)</f>
        <v>0</v>
      </c>
      <c r="G18" s="399">
        <f t="shared" ref="G18:G81" ca="1" si="12">ROUND(D18*F18,2)</f>
        <v>0</v>
      </c>
    </row>
    <row r="19" spans="1:7" ht="30" customHeight="1">
      <c r="A19" s="51" t="str">
        <f ca="1">INDIRECT("Datos!B"&amp;MATCH("RUBRO ITEM",Datos!B:B,0)+ROW()-MATCH("RUBRO ITEM",A:A,0)-1)</f>
        <v>2.2</v>
      </c>
      <c r="B19" s="396" t="str">
        <f t="shared" ca="1" si="5"/>
        <v>Replanteo y Ajustes</v>
      </c>
      <c r="C19" s="156" t="str">
        <f t="shared" ca="1" si="6"/>
        <v>gl.</v>
      </c>
      <c r="D19" s="397">
        <f t="shared" ca="1" si="7"/>
        <v>1</v>
      </c>
      <c r="E19" s="398" t="str">
        <f t="shared" ca="1" si="10"/>
        <v/>
      </c>
      <c r="F19" s="399">
        <f t="shared" ca="1" si="11"/>
        <v>0</v>
      </c>
      <c r="G19" s="399">
        <f t="shared" ca="1" si="12"/>
        <v>0</v>
      </c>
    </row>
    <row r="20" spans="1:7" ht="30" customHeight="1">
      <c r="A20" s="51">
        <f ca="1">INDIRECT("Datos!B"&amp;MATCH("RUBRO ITEM",Datos!B:B,0)+ROW()-MATCH("RUBRO ITEM",A:A,0)-1)</f>
        <v>3</v>
      </c>
      <c r="B20" s="396" t="str">
        <f t="shared" ca="1" si="5"/>
        <v>AZUD PACHIMOCO</v>
      </c>
      <c r="C20" s="156">
        <f t="shared" ca="1" si="6"/>
        <v>0</v>
      </c>
      <c r="D20" s="397">
        <f t="shared" ca="1" si="7"/>
        <v>0</v>
      </c>
      <c r="E20" s="398" t="str">
        <f t="shared" ca="1" si="10"/>
        <v/>
      </c>
      <c r="F20" s="399">
        <f t="shared" ca="1" si="11"/>
        <v>0</v>
      </c>
      <c r="G20" s="399">
        <f t="shared" ca="1" si="12"/>
        <v>0</v>
      </c>
    </row>
    <row r="21" spans="1:7" ht="30" customHeight="1">
      <c r="A21" s="51" t="str">
        <f ca="1">INDIRECT("Datos!B"&amp;MATCH("RUBRO ITEM",Datos!B:B,0)+ROW()-MATCH("RUBRO ITEM",A:A,0)-1)</f>
        <v>3.1</v>
      </c>
      <c r="B21" s="396" t="str">
        <f t="shared" ca="1" si="5"/>
        <v>Compuertas Frontales</v>
      </c>
      <c r="C21" s="156">
        <f t="shared" ca="1" si="6"/>
        <v>0</v>
      </c>
      <c r="D21" s="397">
        <f t="shared" ca="1" si="7"/>
        <v>0</v>
      </c>
      <c r="E21" s="398" t="str">
        <f t="shared" ca="1" si="10"/>
        <v/>
      </c>
      <c r="F21" s="399">
        <f t="shared" ca="1" si="11"/>
        <v>0</v>
      </c>
      <c r="G21" s="399">
        <f t="shared" ca="1" si="12"/>
        <v>0</v>
      </c>
    </row>
    <row r="22" spans="1:7" ht="30" customHeight="1">
      <c r="A22" s="51" t="str">
        <f ca="1">INDIRECT("Datos!B"&amp;MATCH("RUBRO ITEM",Datos!B:B,0)+ROW()-MATCH("RUBRO ITEM",A:A,0)-1)</f>
        <v>3.1.1</v>
      </c>
      <c r="B22" s="396" t="str">
        <f t="shared" ca="1" si="5"/>
        <v>Reemplazo de compuertas frontales azud</v>
      </c>
      <c r="C22" s="156" t="str">
        <f t="shared" ca="1" si="6"/>
        <v>gl.</v>
      </c>
      <c r="D22" s="397">
        <f t="shared" ca="1" si="7"/>
        <v>2</v>
      </c>
      <c r="E22" s="398" t="str">
        <f t="shared" ca="1" si="10"/>
        <v/>
      </c>
      <c r="F22" s="399">
        <f t="shared" ca="1" si="11"/>
        <v>0</v>
      </c>
      <c r="G22" s="399">
        <f t="shared" ca="1" si="12"/>
        <v>0</v>
      </c>
    </row>
    <row r="23" spans="1:7" ht="30" customHeight="1">
      <c r="A23" s="51" t="str">
        <f ca="1">INDIRECT("Datos!B"&amp;MATCH("RUBRO ITEM",Datos!B:B,0)+ROW()-MATCH("RUBRO ITEM",A:A,0)-1)</f>
        <v>3.1.2</v>
      </c>
      <c r="B23" s="396" t="str">
        <f t="shared" ca="1" si="5"/>
        <v>Motorizacion/Electrificacion compuertas frontales azud</v>
      </c>
      <c r="C23" s="156" t="str">
        <f t="shared" ca="1" si="6"/>
        <v>gl.</v>
      </c>
      <c r="D23" s="397">
        <f t="shared" ca="1" si="7"/>
        <v>1</v>
      </c>
      <c r="E23" s="398" t="str">
        <f t="shared" ca="1" si="10"/>
        <v/>
      </c>
      <c r="F23" s="399">
        <f t="shared" ca="1" si="11"/>
        <v>0</v>
      </c>
      <c r="G23" s="399">
        <f t="shared" ca="1" si="12"/>
        <v>0</v>
      </c>
    </row>
    <row r="24" spans="1:7" ht="30" customHeight="1">
      <c r="A24" s="51" t="str">
        <f ca="1">INDIRECT("Datos!B"&amp;MATCH("RUBRO ITEM",Datos!B:B,0)+ROW()-MATCH("RUBRO ITEM",A:A,0)-1)</f>
        <v>3.1.3</v>
      </c>
      <c r="B24" s="396" t="str">
        <f t="shared" ca="1" si="5"/>
        <v>Grupo electrógeno 20kVA</v>
      </c>
      <c r="C24" s="156" t="str">
        <f t="shared" ca="1" si="6"/>
        <v>gl.</v>
      </c>
      <c r="D24" s="397">
        <f t="shared" ca="1" si="7"/>
        <v>1</v>
      </c>
      <c r="E24" s="398" t="str">
        <f t="shared" ca="1" si="10"/>
        <v/>
      </c>
      <c r="F24" s="399">
        <f t="shared" ca="1" si="11"/>
        <v>0</v>
      </c>
      <c r="G24" s="399">
        <f t="shared" ca="1" si="12"/>
        <v>0</v>
      </c>
    </row>
    <row r="25" spans="1:7" ht="30" customHeight="1">
      <c r="A25" s="51" t="str">
        <f ca="1">INDIRECT("Datos!B"&amp;MATCH("RUBRO ITEM",Datos!B:B,0)+ROW()-MATCH("RUBRO ITEM",A:A,0)-1)</f>
        <v>3.2</v>
      </c>
      <c r="B25" s="396" t="str">
        <f t="shared" ca="1" si="5"/>
        <v>Desripiador Margen Derecha</v>
      </c>
      <c r="C25" s="156">
        <f t="shared" ca="1" si="6"/>
        <v>0</v>
      </c>
      <c r="D25" s="397">
        <f t="shared" ca="1" si="7"/>
        <v>0</v>
      </c>
      <c r="E25" s="398" t="str">
        <f t="shared" ca="1" si="10"/>
        <v/>
      </c>
      <c r="F25" s="399">
        <f t="shared" ca="1" si="11"/>
        <v>0</v>
      </c>
      <c r="G25" s="399">
        <f t="shared" ca="1" si="12"/>
        <v>0</v>
      </c>
    </row>
    <row r="26" spans="1:7" ht="30" customHeight="1">
      <c r="A26" s="51" t="str">
        <f ca="1">INDIRECT("Datos!B"&amp;MATCH("RUBRO ITEM",Datos!B:B,0)+ROW()-MATCH("RUBRO ITEM",A:A,0)-1)</f>
        <v>3.2.1</v>
      </c>
      <c r="B26" s="396" t="str">
        <f t="shared" ca="1" si="5"/>
        <v>Reemplazo de compuertas desripiador</v>
      </c>
      <c r="C26" s="156" t="str">
        <f t="shared" ca="1" si="6"/>
        <v>gl.</v>
      </c>
      <c r="D26" s="397">
        <f t="shared" ca="1" si="7"/>
        <v>2</v>
      </c>
      <c r="E26" s="398" t="str">
        <f t="shared" ca="1" si="10"/>
        <v/>
      </c>
      <c r="F26" s="399">
        <f t="shared" ca="1" si="11"/>
        <v>0</v>
      </c>
      <c r="G26" s="399">
        <f t="shared" ca="1" si="12"/>
        <v>0</v>
      </c>
    </row>
    <row r="27" spans="1:7" ht="30" customHeight="1">
      <c r="A27" s="51" t="str">
        <f ca="1">INDIRECT("Datos!B"&amp;MATCH("RUBRO ITEM",Datos!B:B,0)+ROW()-MATCH("RUBRO ITEM",A:A,0)-1)</f>
        <v>3.3</v>
      </c>
      <c r="B27" s="396" t="str">
        <f t="shared" ca="1" si="5"/>
        <v>Obra de Toma</v>
      </c>
      <c r="C27" s="156">
        <f t="shared" ca="1" si="6"/>
        <v>0</v>
      </c>
      <c r="D27" s="397">
        <f t="shared" ca="1" si="7"/>
        <v>0</v>
      </c>
      <c r="E27" s="398" t="str">
        <f t="shared" ca="1" si="10"/>
        <v/>
      </c>
      <c r="F27" s="399">
        <f t="shared" ca="1" si="11"/>
        <v>0</v>
      </c>
      <c r="G27" s="399">
        <f t="shared" ca="1" si="12"/>
        <v>0</v>
      </c>
    </row>
    <row r="28" spans="1:7" ht="30" customHeight="1">
      <c r="A28" s="51" t="str">
        <f ca="1">INDIRECT("Datos!B"&amp;MATCH("RUBRO ITEM",Datos!B:B,0)+ROW()-MATCH("RUBRO ITEM",A:A,0)-1)</f>
        <v>3.3.1</v>
      </c>
      <c r="B28" s="396" t="str">
        <f t="shared" ca="1" si="5"/>
        <v>Reemplazo de compuertas obra de toma</v>
      </c>
      <c r="C28" s="156" t="str">
        <f t="shared" ca="1" si="6"/>
        <v>gl.</v>
      </c>
      <c r="D28" s="397">
        <f t="shared" ca="1" si="7"/>
        <v>3</v>
      </c>
      <c r="E28" s="398" t="str">
        <f t="shared" ca="1" si="10"/>
        <v/>
      </c>
      <c r="F28" s="399">
        <f t="shared" ca="1" si="11"/>
        <v>0</v>
      </c>
      <c r="G28" s="399">
        <f t="shared" ca="1" si="12"/>
        <v>0</v>
      </c>
    </row>
    <row r="29" spans="1:7" ht="30" customHeight="1">
      <c r="A29" s="51" t="str">
        <f ca="1">INDIRECT("Datos!B"&amp;MATCH("RUBRO ITEM",Datos!B:B,0)+ROW()-MATCH("RUBRO ITEM",A:A,0)-1)</f>
        <v>3.3.2</v>
      </c>
      <c r="B29" s="396" t="str">
        <f t="shared" ca="1" si="5"/>
        <v>Motorizacion/Electrificacion obra de toma</v>
      </c>
      <c r="C29" s="156" t="str">
        <f t="shared" ca="1" si="6"/>
        <v>gl.</v>
      </c>
      <c r="D29" s="397">
        <f t="shared" ca="1" si="7"/>
        <v>3</v>
      </c>
      <c r="E29" s="398" t="str">
        <f t="shared" ca="1" si="10"/>
        <v/>
      </c>
      <c r="F29" s="399">
        <f t="shared" ca="1" si="11"/>
        <v>0</v>
      </c>
      <c r="G29" s="399">
        <f t="shared" ca="1" si="12"/>
        <v>0</v>
      </c>
    </row>
    <row r="30" spans="1:7" ht="30" customHeight="1">
      <c r="A30" s="51" t="str">
        <f ca="1">INDIRECT("Datos!B"&amp;MATCH("RUBRO ITEM",Datos!B:B,0)+ROW()-MATCH("RUBRO ITEM",A:A,0)-1)</f>
        <v>3.4</v>
      </c>
      <c r="B30" s="396" t="str">
        <f t="shared" ca="1" si="5"/>
        <v>Obras Anexas</v>
      </c>
      <c r="C30" s="156">
        <f t="shared" ca="1" si="6"/>
        <v>0</v>
      </c>
      <c r="D30" s="397">
        <f t="shared" ca="1" si="7"/>
        <v>0</v>
      </c>
      <c r="E30" s="398" t="str">
        <f t="shared" ca="1" si="10"/>
        <v/>
      </c>
      <c r="F30" s="399">
        <f t="shared" ca="1" si="11"/>
        <v>0</v>
      </c>
      <c r="G30" s="399">
        <f t="shared" ca="1" si="12"/>
        <v>0</v>
      </c>
    </row>
    <row r="31" spans="1:7" ht="30" customHeight="1">
      <c r="A31" s="51" t="str">
        <f ca="1">INDIRECT("Datos!B"&amp;MATCH("RUBRO ITEM",Datos!B:B,0)+ROW()-MATCH("RUBRO ITEM",A:A,0)-1)</f>
        <v>3.4.1</v>
      </c>
      <c r="B31" s="396" t="str">
        <f t="shared" ca="1" si="5"/>
        <v>Reacondicionamiento pasarela</v>
      </c>
      <c r="C31" s="156" t="str">
        <f t="shared" ca="1" si="6"/>
        <v>gl.</v>
      </c>
      <c r="D31" s="397">
        <f t="shared" ca="1" si="7"/>
        <v>1</v>
      </c>
      <c r="E31" s="398" t="str">
        <f t="shared" ca="1" si="10"/>
        <v/>
      </c>
      <c r="F31" s="399">
        <f t="shared" ca="1" si="11"/>
        <v>0</v>
      </c>
      <c r="G31" s="399">
        <f t="shared" ca="1" si="12"/>
        <v>0</v>
      </c>
    </row>
    <row r="32" spans="1:7" ht="30" customHeight="1">
      <c r="A32" s="51" t="str">
        <f ca="1">INDIRECT("Datos!B"&amp;MATCH("RUBRO ITEM",Datos!B:B,0)+ROW()-MATCH("RUBRO ITEM",A:A,0)-1)</f>
        <v>3.4.2</v>
      </c>
      <c r="B32" s="396" t="str">
        <f t="shared" ca="1" si="5"/>
        <v>Mantenimiento grupo electrogeno existente</v>
      </c>
      <c r="C32" s="156" t="str">
        <f t="shared" ca="1" si="6"/>
        <v>gl.</v>
      </c>
      <c r="D32" s="397">
        <f t="shared" ca="1" si="7"/>
        <v>1</v>
      </c>
      <c r="E32" s="398" t="str">
        <f t="shared" ca="1" si="10"/>
        <v/>
      </c>
      <c r="F32" s="399">
        <f t="shared" ca="1" si="11"/>
        <v>0</v>
      </c>
      <c r="G32" s="399">
        <f t="shared" ca="1" si="12"/>
        <v>0</v>
      </c>
    </row>
    <row r="33" spans="1:7" ht="30" customHeight="1">
      <c r="A33" s="51" t="str">
        <f ca="1">INDIRECT("Datos!B"&amp;MATCH("RUBRO ITEM",Datos!B:B,0)+ROW()-MATCH("RUBRO ITEM",A:A,0)-1)</f>
        <v>3.4.3</v>
      </c>
      <c r="B33" s="396" t="str">
        <f t="shared" ca="1" si="5"/>
        <v>Pararrayos</v>
      </c>
      <c r="C33" s="156" t="str">
        <f t="shared" ca="1" si="6"/>
        <v>gl.</v>
      </c>
      <c r="D33" s="397">
        <f t="shared" ca="1" si="7"/>
        <v>1</v>
      </c>
      <c r="E33" s="398" t="str">
        <f t="shared" ca="1" si="10"/>
        <v/>
      </c>
      <c r="F33" s="399">
        <f t="shared" ca="1" si="11"/>
        <v>0</v>
      </c>
      <c r="G33" s="399">
        <f t="shared" ca="1" si="12"/>
        <v>0</v>
      </c>
    </row>
    <row r="34" spans="1:7" ht="30" customHeight="1">
      <c r="A34" s="51" t="str">
        <f ca="1">INDIRECT("Datos!B"&amp;MATCH("RUBRO ITEM",Datos!B:B,0)+ROW()-MATCH("RUBRO ITEM",A:A,0)-1)</f>
        <v>3.4.4</v>
      </c>
      <c r="B34" s="396" t="str">
        <f t="shared" ca="1" si="5"/>
        <v>Puesta a tierra</v>
      </c>
      <c r="C34" s="156" t="str">
        <f t="shared" ca="1" si="6"/>
        <v>gl.</v>
      </c>
      <c r="D34" s="397">
        <f t="shared" ca="1" si="7"/>
        <v>1</v>
      </c>
      <c r="E34" s="398" t="str">
        <f t="shared" ca="1" si="10"/>
        <v/>
      </c>
      <c r="F34" s="399">
        <f t="shared" ca="1" si="11"/>
        <v>0</v>
      </c>
      <c r="G34" s="399">
        <f t="shared" ca="1" si="12"/>
        <v>0</v>
      </c>
    </row>
    <row r="35" spans="1:7" ht="30" customHeight="1">
      <c r="A35" s="51">
        <f ca="1">INDIRECT("Datos!B"&amp;MATCH("RUBRO ITEM",Datos!B:B,0)+ROW()-MATCH("RUBRO ITEM",A:A,0)-1)</f>
        <v>4</v>
      </c>
      <c r="B35" s="396" t="str">
        <f t="shared" ca="1" si="5"/>
        <v>DESARENADOR</v>
      </c>
      <c r="C35" s="156">
        <f t="shared" ca="1" si="6"/>
        <v>0</v>
      </c>
      <c r="D35" s="397">
        <f t="shared" ca="1" si="7"/>
        <v>0</v>
      </c>
      <c r="E35" s="398" t="str">
        <f t="shared" ca="1" si="10"/>
        <v/>
      </c>
      <c r="F35" s="399">
        <f t="shared" ca="1" si="11"/>
        <v>0</v>
      </c>
      <c r="G35" s="399">
        <f t="shared" ca="1" si="12"/>
        <v>0</v>
      </c>
    </row>
    <row r="36" spans="1:7" ht="30" customHeight="1">
      <c r="A36" s="51" t="str">
        <f ca="1">INDIRECT("Datos!B"&amp;MATCH("RUBRO ITEM",Datos!B:B,0)+ROW()-MATCH("RUBRO ITEM",A:A,0)-1)</f>
        <v>4.1</v>
      </c>
      <c r="B36" s="396" t="str">
        <f t="shared" ca="1" si="5"/>
        <v>Rehabilitación compuerta de limpieza</v>
      </c>
      <c r="C36" s="156">
        <f t="shared" ca="1" si="6"/>
        <v>0</v>
      </c>
      <c r="D36" s="397">
        <f t="shared" ca="1" si="7"/>
        <v>0</v>
      </c>
      <c r="E36" s="398" t="str">
        <f t="shared" ca="1" si="10"/>
        <v/>
      </c>
      <c r="F36" s="399">
        <f t="shared" ca="1" si="11"/>
        <v>0</v>
      </c>
      <c r="G36" s="399">
        <f t="shared" ca="1" si="12"/>
        <v>0</v>
      </c>
    </row>
    <row r="37" spans="1:7" ht="30" customHeight="1">
      <c r="A37" s="51" t="str">
        <f ca="1">INDIRECT("Datos!B"&amp;MATCH("RUBRO ITEM",Datos!B:B,0)+ROW()-MATCH("RUBRO ITEM",A:A,0)-1)</f>
        <v>4.1.1</v>
      </c>
      <c r="B37" s="396" t="str">
        <f t="shared" ca="1" si="5"/>
        <v>Reemplazo de compuertas desarenador</v>
      </c>
      <c r="C37" s="156" t="str">
        <f t="shared" ca="1" si="6"/>
        <v>gl.</v>
      </c>
      <c r="D37" s="397">
        <f t="shared" ca="1" si="7"/>
        <v>1</v>
      </c>
      <c r="E37" s="398" t="str">
        <f t="shared" ca="1" si="10"/>
        <v/>
      </c>
      <c r="F37" s="399">
        <f t="shared" ca="1" si="11"/>
        <v>0</v>
      </c>
      <c r="G37" s="399">
        <f t="shared" ca="1" si="12"/>
        <v>0</v>
      </c>
    </row>
    <row r="38" spans="1:7" ht="30" customHeight="1">
      <c r="A38" s="51" t="str">
        <f ca="1">INDIRECT("Datos!B"&amp;MATCH("RUBRO ITEM",Datos!B:B,0)+ROW()-MATCH("RUBRO ITEM",A:A,0)-1)</f>
        <v>4.1.2</v>
      </c>
      <c r="B38" s="396" t="str">
        <f t="shared" ca="1" si="5"/>
        <v>Motorizacion/Electrificacion desarenador</v>
      </c>
      <c r="C38" s="156" t="str">
        <f t="shared" ca="1" si="6"/>
        <v>gl.</v>
      </c>
      <c r="D38" s="397">
        <f t="shared" ca="1" si="7"/>
        <v>1</v>
      </c>
      <c r="E38" s="398" t="str">
        <f t="shared" ca="1" si="10"/>
        <v/>
      </c>
      <c r="F38" s="399">
        <f t="shared" ca="1" si="11"/>
        <v>0</v>
      </c>
      <c r="G38" s="399">
        <f t="shared" ca="1" si="12"/>
        <v>0</v>
      </c>
    </row>
    <row r="39" spans="1:7" ht="30" customHeight="1">
      <c r="A39" s="51">
        <f ca="1">INDIRECT("Datos!B"&amp;MATCH("RUBRO ITEM",Datos!B:B,0)+ROW()-MATCH("RUBRO ITEM",A:A,0)-1)</f>
        <v>5</v>
      </c>
      <c r="B39" s="396" t="str">
        <f t="shared" ca="1" si="5"/>
        <v>CANAL MATRIZ</v>
      </c>
      <c r="C39" s="156">
        <f t="shared" ca="1" si="6"/>
        <v>0</v>
      </c>
      <c r="D39" s="397">
        <f t="shared" ca="1" si="7"/>
        <v>0</v>
      </c>
      <c r="E39" s="398" t="str">
        <f t="shared" ca="1" si="10"/>
        <v/>
      </c>
      <c r="F39" s="399">
        <f t="shared" ca="1" si="11"/>
        <v>0</v>
      </c>
      <c r="G39" s="399">
        <f t="shared" ca="1" si="12"/>
        <v>0</v>
      </c>
    </row>
    <row r="40" spans="1:7" ht="30" customHeight="1">
      <c r="A40" s="51" t="str">
        <f ca="1">INDIRECT("Datos!B"&amp;MATCH("RUBRO ITEM",Datos!B:B,0)+ROW()-MATCH("RUBRO ITEM",A:A,0)-1)</f>
        <v>5.1</v>
      </c>
      <c r="B40" s="396" t="str">
        <f t="shared" ca="1" si="5"/>
        <v>Tramo Inicial - Encamisado total</v>
      </c>
      <c r="C40" s="156">
        <f t="shared" ca="1" si="6"/>
        <v>0</v>
      </c>
      <c r="D40" s="397">
        <f t="shared" ca="1" si="7"/>
        <v>0</v>
      </c>
      <c r="E40" s="398" t="str">
        <f t="shared" ca="1" si="10"/>
        <v/>
      </c>
      <c r="F40" s="399">
        <f t="shared" ca="1" si="11"/>
        <v>0</v>
      </c>
      <c r="G40" s="399">
        <f t="shared" ca="1" si="12"/>
        <v>0</v>
      </c>
    </row>
    <row r="41" spans="1:7" ht="30" customHeight="1">
      <c r="A41" s="51" t="str">
        <f ca="1">INDIRECT("Datos!B"&amp;MATCH("RUBRO ITEM",Datos!B:B,0)+ROW()-MATCH("RUBRO ITEM",A:A,0)-1)</f>
        <v>5.1.1</v>
      </c>
      <c r="B41" s="396" t="str">
        <f t="shared" ca="1" si="5"/>
        <v>Limpieza camino de servicio</v>
      </c>
      <c r="C41" s="156" t="str">
        <f t="shared" ca="1" si="6"/>
        <v>m</v>
      </c>
      <c r="D41" s="397">
        <f t="shared" ca="1" si="7"/>
        <v>700</v>
      </c>
      <c r="E41" s="398" t="str">
        <f t="shared" ca="1" si="10"/>
        <v/>
      </c>
      <c r="F41" s="399">
        <f t="shared" ca="1" si="11"/>
        <v>0</v>
      </c>
      <c r="G41" s="399">
        <f t="shared" ca="1" si="12"/>
        <v>0</v>
      </c>
    </row>
    <row r="42" spans="1:7" ht="30" customHeight="1">
      <c r="A42" s="51" t="str">
        <f ca="1">INDIRECT("Datos!B"&amp;MATCH("RUBRO ITEM",Datos!B:B,0)+ROW()-MATCH("RUBRO ITEM",A:A,0)-1)</f>
        <v>5.1.2</v>
      </c>
      <c r="B42" s="396" t="str">
        <f t="shared" ca="1" si="5"/>
        <v>Limpieza y preparación del terreno</v>
      </c>
      <c r="C42" s="156" t="str">
        <f t="shared" ca="1" si="6"/>
        <v>m</v>
      </c>
      <c r="D42" s="397">
        <f t="shared" ca="1" si="7"/>
        <v>700</v>
      </c>
      <c r="E42" s="398" t="str">
        <f t="shared" ca="1" si="10"/>
        <v/>
      </c>
      <c r="F42" s="399">
        <f t="shared" ca="1" si="11"/>
        <v>0</v>
      </c>
      <c r="G42" s="399">
        <f t="shared" ca="1" si="12"/>
        <v>0</v>
      </c>
    </row>
    <row r="43" spans="1:7" ht="30" customHeight="1">
      <c r="A43" s="51" t="str">
        <f ca="1">INDIRECT("Datos!B"&amp;MATCH("RUBRO ITEM",Datos!B:B,0)+ROW()-MATCH("RUBRO ITEM",A:A,0)-1)</f>
        <v>5.1.3</v>
      </c>
      <c r="B43" s="396" t="str">
        <f t="shared" ca="1" si="5"/>
        <v>Excavación</v>
      </c>
      <c r="C43" s="156" t="str">
        <f t="shared" ca="1" si="6"/>
        <v>m3</v>
      </c>
      <c r="D43" s="397">
        <f t="shared" ca="1" si="7"/>
        <v>2938</v>
      </c>
      <c r="E43" s="398" t="str">
        <f t="shared" ca="1" si="10"/>
        <v/>
      </c>
      <c r="F43" s="399">
        <f t="shared" ca="1" si="11"/>
        <v>0</v>
      </c>
      <c r="G43" s="399">
        <f t="shared" ca="1" si="12"/>
        <v>0</v>
      </c>
    </row>
    <row r="44" spans="1:7" ht="30" customHeight="1">
      <c r="A44" s="51" t="str">
        <f ca="1">INDIRECT("Datos!B"&amp;MATCH("RUBRO ITEM",Datos!B:B,0)+ROW()-MATCH("RUBRO ITEM",A:A,0)-1)</f>
        <v>5.1.4</v>
      </c>
      <c r="B44" s="396" t="str">
        <f t="shared" ca="1" si="5"/>
        <v>Relleno y compactación</v>
      </c>
      <c r="C44" s="156" t="str">
        <f t="shared" ca="1" si="6"/>
        <v>m3</v>
      </c>
      <c r="D44" s="397">
        <f t="shared" ca="1" si="7"/>
        <v>1860</v>
      </c>
      <c r="E44" s="398" t="str">
        <f t="shared" ca="1" si="10"/>
        <v/>
      </c>
      <c r="F44" s="399">
        <f t="shared" ca="1" si="11"/>
        <v>0</v>
      </c>
      <c r="G44" s="399">
        <f t="shared" ca="1" si="12"/>
        <v>0</v>
      </c>
    </row>
    <row r="45" spans="1:7" ht="30" customHeight="1">
      <c r="A45" s="51" t="str">
        <f ca="1">INDIRECT("Datos!B"&amp;MATCH("RUBRO ITEM",Datos!B:B,0)+ROW()-MATCH("RUBRO ITEM",A:A,0)-1)</f>
        <v>5.1.5</v>
      </c>
      <c r="B45" s="396" t="str">
        <f t="shared" ca="1" si="5"/>
        <v>Hormigón H20</v>
      </c>
      <c r="C45" s="156" t="str">
        <f t="shared" ca="1" si="6"/>
        <v>m3</v>
      </c>
      <c r="D45" s="397">
        <f t="shared" ca="1" si="7"/>
        <v>983</v>
      </c>
      <c r="E45" s="398" t="str">
        <f t="shared" ca="1" si="10"/>
        <v/>
      </c>
      <c r="F45" s="399">
        <f t="shared" ca="1" si="11"/>
        <v>0</v>
      </c>
      <c r="G45" s="399">
        <f t="shared" ca="1" si="12"/>
        <v>0</v>
      </c>
    </row>
    <row r="46" spans="1:7" ht="30" customHeight="1">
      <c r="A46" s="51" t="str">
        <f ca="1">INDIRECT("Datos!B"&amp;MATCH("RUBRO ITEM",Datos!B:B,0)+ROW()-MATCH("RUBRO ITEM",A:A,0)-1)</f>
        <v>5.1.6</v>
      </c>
      <c r="B46" s="396" t="str">
        <f t="shared" ca="1" si="5"/>
        <v>Malla de acero</v>
      </c>
      <c r="C46" s="156" t="str">
        <f t="shared" ca="1" si="6"/>
        <v>kg</v>
      </c>
      <c r="D46" s="397">
        <f t="shared" ca="1" si="7"/>
        <v>42952</v>
      </c>
      <c r="E46" s="398" t="str">
        <f t="shared" ca="1" si="10"/>
        <v/>
      </c>
      <c r="F46" s="399">
        <f t="shared" ca="1" si="11"/>
        <v>0</v>
      </c>
      <c r="G46" s="399">
        <f t="shared" ca="1" si="12"/>
        <v>0</v>
      </c>
    </row>
    <row r="47" spans="1:7" ht="30" customHeight="1">
      <c r="A47" s="51" t="str">
        <f ca="1">INDIRECT("Datos!B"&amp;MATCH("RUBRO ITEM",Datos!B:B,0)+ROW()-MATCH("RUBRO ITEM",A:A,0)-1)</f>
        <v>5.1.7</v>
      </c>
      <c r="B47" s="396" t="str">
        <f t="shared" ca="1" si="5"/>
        <v>Hormigón armado H20</v>
      </c>
      <c r="C47" s="156" t="str">
        <f t="shared" ca="1" si="6"/>
        <v>m3</v>
      </c>
      <c r="D47" s="397">
        <f t="shared" ca="1" si="7"/>
        <v>106</v>
      </c>
      <c r="E47" s="398" t="str">
        <f t="shared" ca="1" si="10"/>
        <v/>
      </c>
      <c r="F47" s="399">
        <f t="shared" ca="1" si="11"/>
        <v>0</v>
      </c>
      <c r="G47" s="399">
        <f t="shared" ca="1" si="12"/>
        <v>0</v>
      </c>
    </row>
    <row r="48" spans="1:7" ht="30" customHeight="1">
      <c r="A48" s="51" t="str">
        <f ca="1">INDIRECT("Datos!B"&amp;MATCH("RUBRO ITEM",Datos!B:B,0)+ROW()-MATCH("RUBRO ITEM",A:A,0)-1)</f>
        <v>5.2</v>
      </c>
      <c r="B48" s="396" t="str">
        <f t="shared" ca="1" si="5"/>
        <v>Tramo Final - Reconstruccion total</v>
      </c>
      <c r="C48" s="156">
        <f t="shared" ca="1" si="6"/>
        <v>0</v>
      </c>
      <c r="D48" s="397">
        <f t="shared" ca="1" si="7"/>
        <v>0</v>
      </c>
      <c r="E48" s="398" t="str">
        <f t="shared" ca="1" si="10"/>
        <v/>
      </c>
      <c r="F48" s="399">
        <f t="shared" ca="1" si="11"/>
        <v>0</v>
      </c>
      <c r="G48" s="399">
        <f t="shared" ca="1" si="12"/>
        <v>0</v>
      </c>
    </row>
    <row r="49" spans="1:7" ht="30" customHeight="1">
      <c r="A49" s="51" t="str">
        <f ca="1">INDIRECT("Datos!B"&amp;MATCH("RUBRO ITEM",Datos!B:B,0)+ROW()-MATCH("RUBRO ITEM",A:A,0)-1)</f>
        <v>5.2.1</v>
      </c>
      <c r="B49" s="396" t="str">
        <f t="shared" ca="1" si="5"/>
        <v>Rehabilitacion camino de servicio</v>
      </c>
      <c r="C49" s="156" t="str">
        <f t="shared" ca="1" si="6"/>
        <v>m</v>
      </c>
      <c r="D49" s="397">
        <f t="shared" ca="1" si="7"/>
        <v>230</v>
      </c>
      <c r="E49" s="398" t="str">
        <f t="shared" ca="1" si="10"/>
        <v/>
      </c>
      <c r="F49" s="399">
        <f t="shared" ca="1" si="11"/>
        <v>0</v>
      </c>
      <c r="G49" s="399">
        <f t="shared" ca="1" si="12"/>
        <v>0</v>
      </c>
    </row>
    <row r="50" spans="1:7" ht="30" customHeight="1">
      <c r="A50" s="51" t="str">
        <f ca="1">INDIRECT("Datos!B"&amp;MATCH("RUBRO ITEM",Datos!B:B,0)+ROW()-MATCH("RUBRO ITEM",A:A,0)-1)</f>
        <v>5.2.2</v>
      </c>
      <c r="B50" s="396" t="str">
        <f t="shared" ca="1" si="5"/>
        <v>Limpieza y preparación del terreno</v>
      </c>
      <c r="C50" s="156" t="str">
        <f t="shared" ca="1" si="6"/>
        <v>m</v>
      </c>
      <c r="D50" s="397">
        <f t="shared" ca="1" si="7"/>
        <v>230</v>
      </c>
      <c r="E50" s="398" t="str">
        <f t="shared" ca="1" si="10"/>
        <v/>
      </c>
      <c r="F50" s="399">
        <f t="shared" ca="1" si="11"/>
        <v>0</v>
      </c>
      <c r="G50" s="399">
        <f t="shared" ca="1" si="12"/>
        <v>0</v>
      </c>
    </row>
    <row r="51" spans="1:7" ht="30" customHeight="1">
      <c r="A51" s="51" t="str">
        <f ca="1">INDIRECT("Datos!B"&amp;MATCH("RUBRO ITEM",Datos!B:B,0)+ROW()-MATCH("RUBRO ITEM",A:A,0)-1)</f>
        <v>5.2.3</v>
      </c>
      <c r="B51" s="396" t="str">
        <f t="shared" ca="1" si="5"/>
        <v>Demoliciones</v>
      </c>
      <c r="C51" s="156" t="str">
        <f t="shared" ca="1" si="6"/>
        <v>m3</v>
      </c>
      <c r="D51" s="397">
        <f t="shared" ca="1" si="7"/>
        <v>450</v>
      </c>
      <c r="E51" s="398" t="str">
        <f t="shared" ca="1" si="10"/>
        <v/>
      </c>
      <c r="F51" s="399">
        <f t="shared" ca="1" si="11"/>
        <v>0</v>
      </c>
      <c r="G51" s="399">
        <f t="shared" ca="1" si="12"/>
        <v>0</v>
      </c>
    </row>
    <row r="52" spans="1:7" ht="30" customHeight="1">
      <c r="A52" s="51" t="str">
        <f ca="1">INDIRECT("Datos!B"&amp;MATCH("RUBRO ITEM",Datos!B:B,0)+ROW()-MATCH("RUBRO ITEM",A:A,0)-1)</f>
        <v>5.2.4</v>
      </c>
      <c r="B52" s="396" t="str">
        <f t="shared" ca="1" si="5"/>
        <v>Excavacion</v>
      </c>
      <c r="C52" s="156" t="str">
        <f t="shared" ca="1" si="6"/>
        <v>m3</v>
      </c>
      <c r="D52" s="397">
        <f t="shared" ca="1" si="7"/>
        <v>1469</v>
      </c>
      <c r="E52" s="398" t="str">
        <f t="shared" ca="1" si="10"/>
        <v/>
      </c>
      <c r="F52" s="399">
        <f t="shared" ca="1" si="11"/>
        <v>0</v>
      </c>
      <c r="G52" s="399">
        <f t="shared" ca="1" si="12"/>
        <v>0</v>
      </c>
    </row>
    <row r="53" spans="1:7" ht="30" customHeight="1">
      <c r="A53" s="51" t="str">
        <f ca="1">INDIRECT("Datos!B"&amp;MATCH("RUBRO ITEM",Datos!B:B,0)+ROW()-MATCH("RUBRO ITEM",A:A,0)-1)</f>
        <v>5.2.5</v>
      </c>
      <c r="B53" s="396" t="str">
        <f t="shared" ca="1" si="5"/>
        <v>Relleno y compactación</v>
      </c>
      <c r="C53" s="156" t="str">
        <f t="shared" ca="1" si="6"/>
        <v>m3</v>
      </c>
      <c r="D53" s="397">
        <f t="shared" ca="1" si="7"/>
        <v>1539</v>
      </c>
      <c r="E53" s="398" t="str">
        <f t="shared" ca="1" si="10"/>
        <v/>
      </c>
      <c r="F53" s="399">
        <f t="shared" ca="1" si="11"/>
        <v>0</v>
      </c>
      <c r="G53" s="399">
        <f t="shared" ca="1" si="12"/>
        <v>0</v>
      </c>
    </row>
    <row r="54" spans="1:7" ht="30" customHeight="1">
      <c r="A54" s="51" t="str">
        <f ca="1">INDIRECT("Datos!B"&amp;MATCH("RUBRO ITEM",Datos!B:B,0)+ROW()-MATCH("RUBRO ITEM",A:A,0)-1)</f>
        <v>5.2.6</v>
      </c>
      <c r="B54" s="396" t="str">
        <f t="shared" ca="1" si="5"/>
        <v>Geotextil</v>
      </c>
      <c r="C54" s="156" t="str">
        <f t="shared" ca="1" si="6"/>
        <v>m2</v>
      </c>
      <c r="D54" s="397">
        <f t="shared" ca="1" si="7"/>
        <v>2075</v>
      </c>
      <c r="E54" s="398" t="str">
        <f t="shared" ca="1" si="10"/>
        <v/>
      </c>
      <c r="F54" s="399">
        <f t="shared" ca="1" si="11"/>
        <v>0</v>
      </c>
      <c r="G54" s="399">
        <f t="shared" ca="1" si="12"/>
        <v>0</v>
      </c>
    </row>
    <row r="55" spans="1:7" ht="30" customHeight="1">
      <c r="A55" s="51" t="str">
        <f ca="1">INDIRECT("Datos!B"&amp;MATCH("RUBRO ITEM",Datos!B:B,0)+ROW()-MATCH("RUBRO ITEM",A:A,0)-1)</f>
        <v>5.2.7</v>
      </c>
      <c r="B55" s="396" t="str">
        <f t="shared" ca="1" si="5"/>
        <v>Grava de asiento</v>
      </c>
      <c r="C55" s="156" t="str">
        <f t="shared" ca="1" si="6"/>
        <v>m3</v>
      </c>
      <c r="D55" s="397">
        <f t="shared" ca="1" si="7"/>
        <v>329</v>
      </c>
      <c r="E55" s="398" t="str">
        <f t="shared" ca="1" si="10"/>
        <v/>
      </c>
      <c r="F55" s="399">
        <f t="shared" ca="1" si="11"/>
        <v>0</v>
      </c>
      <c r="G55" s="399">
        <f t="shared" ca="1" si="12"/>
        <v>0</v>
      </c>
    </row>
    <row r="56" spans="1:7" ht="30" customHeight="1">
      <c r="A56" s="51" t="str">
        <f ca="1">INDIRECT("Datos!B"&amp;MATCH("RUBRO ITEM",Datos!B:B,0)+ROW()-MATCH("RUBRO ITEM",A:A,0)-1)</f>
        <v>5.2.8</v>
      </c>
      <c r="B56" s="396" t="str">
        <f t="shared" ca="1" si="5"/>
        <v>Hormigón de limpieza</v>
      </c>
      <c r="C56" s="156" t="str">
        <f t="shared" ca="1" si="6"/>
        <v>m3</v>
      </c>
      <c r="D56" s="397">
        <f t="shared" ca="1" si="7"/>
        <v>81</v>
      </c>
      <c r="E56" s="398" t="str">
        <f t="shared" ca="1" si="10"/>
        <v/>
      </c>
      <c r="F56" s="399">
        <f t="shared" ca="1" si="11"/>
        <v>0</v>
      </c>
      <c r="G56" s="399">
        <f t="shared" ca="1" si="12"/>
        <v>0</v>
      </c>
    </row>
    <row r="57" spans="1:7" ht="30" customHeight="1">
      <c r="A57" s="51" t="str">
        <f ca="1">INDIRECT("Datos!B"&amp;MATCH("RUBRO ITEM",Datos!B:B,0)+ROW()-MATCH("RUBRO ITEM",A:A,0)-1)</f>
        <v>5.2.9</v>
      </c>
      <c r="B57" s="396" t="str">
        <f t="shared" ca="1" si="5"/>
        <v>Hormigón armado H20</v>
      </c>
      <c r="C57" s="156" t="str">
        <f t="shared" ca="1" si="6"/>
        <v>m3</v>
      </c>
      <c r="D57" s="397">
        <f t="shared" ca="1" si="7"/>
        <v>450</v>
      </c>
      <c r="E57" s="398" t="str">
        <f t="shared" ca="1" si="10"/>
        <v/>
      </c>
      <c r="F57" s="399">
        <f t="shared" ca="1" si="11"/>
        <v>0</v>
      </c>
      <c r="G57" s="399">
        <f t="shared" ca="1" si="12"/>
        <v>0</v>
      </c>
    </row>
    <row r="58" spans="1:7" ht="30" customHeight="1">
      <c r="A58" s="51" t="str">
        <f ca="1">INDIRECT("Datos!B"&amp;MATCH("RUBRO ITEM",Datos!B:B,0)+ROW()-MATCH("RUBRO ITEM",A:A,0)-1)</f>
        <v>5.2.10</v>
      </c>
      <c r="B58" s="396" t="str">
        <f t="shared" ca="1" si="5"/>
        <v>Reemplazo de compuertas</v>
      </c>
      <c r="C58" s="156" t="str">
        <f t="shared" ca="1" si="6"/>
        <v>unidad</v>
      </c>
      <c r="D58" s="397">
        <f t="shared" ca="1" si="7"/>
        <v>2</v>
      </c>
      <c r="E58" s="398" t="str">
        <f t="shared" ca="1" si="10"/>
        <v/>
      </c>
      <c r="F58" s="399">
        <f t="shared" ca="1" si="11"/>
        <v>0</v>
      </c>
      <c r="G58" s="399">
        <f t="shared" ca="1" si="12"/>
        <v>0</v>
      </c>
    </row>
    <row r="59" spans="1:7" ht="30" customHeight="1">
      <c r="A59" s="51" t="str">
        <f ca="1">INDIRECT("Datos!B"&amp;MATCH("RUBRO ITEM",Datos!B:B,0)+ROW()-MATCH("RUBRO ITEM",A:A,0)-1)</f>
        <v>5.2.11</v>
      </c>
      <c r="B59" s="396" t="str">
        <f t="shared" ca="1" si="5"/>
        <v>Readecuacion comparto de derivacion</v>
      </c>
      <c r="C59" s="156" t="str">
        <f t="shared" ca="1" si="6"/>
        <v>gl.</v>
      </c>
      <c r="D59" s="397">
        <f t="shared" ca="1" si="7"/>
        <v>1</v>
      </c>
      <c r="E59" s="398" t="str">
        <f t="shared" ca="1" si="10"/>
        <v/>
      </c>
      <c r="F59" s="399">
        <f t="shared" ca="1" si="11"/>
        <v>0</v>
      </c>
      <c r="G59" s="399">
        <f t="shared" ca="1" si="12"/>
        <v>0</v>
      </c>
    </row>
    <row r="60" spans="1:7" ht="30" customHeight="1">
      <c r="A60" s="51">
        <f ca="1">INDIRECT("Datos!B"&amp;MATCH("RUBRO ITEM",Datos!B:B,0)+ROW()-MATCH("RUBRO ITEM",A:A,0)-1)</f>
        <v>6</v>
      </c>
      <c r="B60" s="396" t="str">
        <f t="shared" ca="1" si="5"/>
        <v>CANAL DEL NORTE</v>
      </c>
      <c r="C60" s="156">
        <f t="shared" ca="1" si="6"/>
        <v>0</v>
      </c>
      <c r="D60" s="397">
        <f t="shared" ca="1" si="7"/>
        <v>0</v>
      </c>
      <c r="E60" s="398" t="str">
        <f t="shared" ca="1" si="10"/>
        <v/>
      </c>
      <c r="F60" s="399">
        <f t="shared" ca="1" si="11"/>
        <v>0</v>
      </c>
      <c r="G60" s="399">
        <f t="shared" ca="1" si="12"/>
        <v>0</v>
      </c>
    </row>
    <row r="61" spans="1:7" ht="30" customHeight="1">
      <c r="A61" s="51" t="str">
        <f ca="1">INDIRECT("Datos!B"&amp;MATCH("RUBRO ITEM",Datos!B:B,0)+ROW()-MATCH("RUBRO ITEM",A:A,0)-1)</f>
        <v>6.1</v>
      </c>
      <c r="B61" s="396" t="str">
        <f t="shared" ca="1" si="5"/>
        <v>Encamisado Total</v>
      </c>
      <c r="C61" s="156">
        <f t="shared" ca="1" si="6"/>
        <v>0</v>
      </c>
      <c r="D61" s="397">
        <f t="shared" ca="1" si="7"/>
        <v>0</v>
      </c>
      <c r="E61" s="398" t="str">
        <f t="shared" ca="1" si="10"/>
        <v/>
      </c>
      <c r="F61" s="399">
        <f t="shared" ca="1" si="11"/>
        <v>0</v>
      </c>
      <c r="G61" s="399">
        <f t="shared" ca="1" si="12"/>
        <v>0</v>
      </c>
    </row>
    <row r="62" spans="1:7" ht="30" customHeight="1">
      <c r="A62" s="51" t="str">
        <f ca="1">INDIRECT("Datos!B"&amp;MATCH("RUBRO ITEM",Datos!B:B,0)+ROW()-MATCH("RUBRO ITEM",A:A,0)-1)</f>
        <v>6.1.1</v>
      </c>
      <c r="B62" s="396" t="str">
        <f t="shared" ca="1" si="5"/>
        <v>Rehabilitación camino de servicio</v>
      </c>
      <c r="C62" s="156" t="str">
        <f t="shared" ca="1" si="6"/>
        <v>m</v>
      </c>
      <c r="D62" s="397">
        <f t="shared" ca="1" si="7"/>
        <v>5095</v>
      </c>
      <c r="E62" s="398" t="str">
        <f t="shared" ca="1" si="10"/>
        <v/>
      </c>
      <c r="F62" s="399">
        <f t="shared" ca="1" si="11"/>
        <v>0</v>
      </c>
      <c r="G62" s="399">
        <f t="shared" ca="1" si="12"/>
        <v>0</v>
      </c>
    </row>
    <row r="63" spans="1:7" ht="30" customHeight="1">
      <c r="A63" s="51" t="str">
        <f ca="1">INDIRECT("Datos!B"&amp;MATCH("RUBRO ITEM",Datos!B:B,0)+ROW()-MATCH("RUBRO ITEM",A:A,0)-1)</f>
        <v>6.1.2</v>
      </c>
      <c r="B63" s="396" t="str">
        <f t="shared" ca="1" si="5"/>
        <v>Limpieza y preparación del terreno</v>
      </c>
      <c r="C63" s="156" t="str">
        <f t="shared" ca="1" si="6"/>
        <v>m</v>
      </c>
      <c r="D63" s="397">
        <f t="shared" ca="1" si="7"/>
        <v>5095</v>
      </c>
      <c r="E63" s="398" t="str">
        <f t="shared" ca="1" si="10"/>
        <v/>
      </c>
      <c r="F63" s="399">
        <f t="shared" ca="1" si="11"/>
        <v>0</v>
      </c>
      <c r="G63" s="399">
        <f t="shared" ca="1" si="12"/>
        <v>0</v>
      </c>
    </row>
    <row r="64" spans="1:7" ht="30" customHeight="1">
      <c r="A64" s="51" t="str">
        <f ca="1">INDIRECT("Datos!B"&amp;MATCH("RUBRO ITEM",Datos!B:B,0)+ROW()-MATCH("RUBRO ITEM",A:A,0)-1)</f>
        <v>6.1.3</v>
      </c>
      <c r="B64" s="396" t="str">
        <f t="shared" ca="1" si="5"/>
        <v>Excavación</v>
      </c>
      <c r="C64" s="156" t="str">
        <f t="shared" ca="1" si="6"/>
        <v>m3</v>
      </c>
      <c r="D64" s="397">
        <f t="shared" ca="1" si="7"/>
        <v>1425</v>
      </c>
      <c r="E64" s="398" t="str">
        <f t="shared" ca="1" si="10"/>
        <v/>
      </c>
      <c r="F64" s="399">
        <f t="shared" ca="1" si="11"/>
        <v>0</v>
      </c>
      <c r="G64" s="399">
        <f t="shared" ca="1" si="12"/>
        <v>0</v>
      </c>
    </row>
    <row r="65" spans="1:7" ht="30" customHeight="1">
      <c r="A65" s="51" t="str">
        <f ca="1">INDIRECT("Datos!B"&amp;MATCH("RUBRO ITEM",Datos!B:B,0)+ROW()-MATCH("RUBRO ITEM",A:A,0)-1)</f>
        <v>6.1.4</v>
      </c>
      <c r="B65" s="396" t="str">
        <f t="shared" ca="1" si="5"/>
        <v>Relleno y compactación</v>
      </c>
      <c r="C65" s="156" t="str">
        <f t="shared" ca="1" si="6"/>
        <v>m3</v>
      </c>
      <c r="D65" s="397">
        <f t="shared" ca="1" si="7"/>
        <v>1492</v>
      </c>
      <c r="E65" s="398" t="str">
        <f t="shared" ca="1" si="10"/>
        <v/>
      </c>
      <c r="F65" s="399">
        <f t="shared" ca="1" si="11"/>
        <v>0</v>
      </c>
      <c r="G65" s="399">
        <f t="shared" ca="1" si="12"/>
        <v>0</v>
      </c>
    </row>
    <row r="66" spans="1:7" ht="30" customHeight="1">
      <c r="A66" s="51" t="str">
        <f ca="1">INDIRECT("Datos!B"&amp;MATCH("RUBRO ITEM",Datos!B:B,0)+ROW()-MATCH("RUBRO ITEM",A:A,0)-1)</f>
        <v>6.1.5</v>
      </c>
      <c r="B66" s="396" t="str">
        <f t="shared" ca="1" si="5"/>
        <v>Hormigon H20</v>
      </c>
      <c r="C66" s="156" t="str">
        <f t="shared" ca="1" si="6"/>
        <v>m3</v>
      </c>
      <c r="D66" s="397">
        <f t="shared" ca="1" si="7"/>
        <v>3545</v>
      </c>
      <c r="E66" s="398" t="str">
        <f t="shared" ca="1" si="10"/>
        <v/>
      </c>
      <c r="F66" s="399">
        <f t="shared" ca="1" si="11"/>
        <v>0</v>
      </c>
      <c r="G66" s="399">
        <f t="shared" ca="1" si="12"/>
        <v>0</v>
      </c>
    </row>
    <row r="67" spans="1:7" ht="30" customHeight="1">
      <c r="A67" s="51" t="str">
        <f ca="1">INDIRECT("Datos!B"&amp;MATCH("RUBRO ITEM",Datos!B:B,0)+ROW()-MATCH("RUBRO ITEM",A:A,0)-1)</f>
        <v>6.1.6</v>
      </c>
      <c r="B67" s="396" t="str">
        <f t="shared" ca="1" si="5"/>
        <v>Malla de acero</v>
      </c>
      <c r="C67" s="156" t="str">
        <f t="shared" ca="1" si="6"/>
        <v>kg</v>
      </c>
      <c r="D67" s="397">
        <f t="shared" ca="1" si="7"/>
        <v>113044</v>
      </c>
      <c r="E67" s="398" t="str">
        <f t="shared" ca="1" si="10"/>
        <v/>
      </c>
      <c r="F67" s="399">
        <f t="shared" ca="1" si="11"/>
        <v>0</v>
      </c>
      <c r="G67" s="399">
        <f t="shared" ca="1" si="12"/>
        <v>0</v>
      </c>
    </row>
    <row r="68" spans="1:7" ht="30" customHeight="1">
      <c r="A68" s="51" t="str">
        <f ca="1">INDIRECT("Datos!B"&amp;MATCH("RUBRO ITEM",Datos!B:B,0)+ROW()-MATCH("RUBRO ITEM",A:A,0)-1)</f>
        <v>6.2</v>
      </c>
      <c r="B68" s="396" t="str">
        <f t="shared" ca="1" si="5"/>
        <v>Obras de cruce aluvional</v>
      </c>
      <c r="C68" s="156">
        <f t="shared" ca="1" si="6"/>
        <v>0</v>
      </c>
      <c r="D68" s="397">
        <f t="shared" ca="1" si="7"/>
        <v>0</v>
      </c>
      <c r="E68" s="398" t="str">
        <f t="shared" ca="1" si="10"/>
        <v/>
      </c>
      <c r="F68" s="399">
        <f t="shared" ca="1" si="11"/>
        <v>0</v>
      </c>
      <c r="G68" s="399">
        <f t="shared" ca="1" si="12"/>
        <v>0</v>
      </c>
    </row>
    <row r="69" spans="1:7" ht="30" customHeight="1">
      <c r="A69" s="51" t="str">
        <f ca="1">INDIRECT("Datos!B"&amp;MATCH("RUBRO ITEM",Datos!B:B,0)+ROW()-MATCH("RUBRO ITEM",A:A,0)-1)</f>
        <v>6.2.1</v>
      </c>
      <c r="B69" s="396" t="str">
        <f t="shared" ca="1" si="5"/>
        <v>Limpieza y preparación del terreno</v>
      </c>
      <c r="C69" s="156" t="str">
        <f t="shared" ca="1" si="6"/>
        <v>m</v>
      </c>
      <c r="D69" s="397">
        <f t="shared" ca="1" si="7"/>
        <v>200</v>
      </c>
      <c r="E69" s="398" t="str">
        <f t="shared" ca="1" si="10"/>
        <v/>
      </c>
      <c r="F69" s="399">
        <f t="shared" ca="1" si="11"/>
        <v>0</v>
      </c>
      <c r="G69" s="399">
        <f t="shared" ca="1" si="12"/>
        <v>0</v>
      </c>
    </row>
    <row r="70" spans="1:7" ht="30" customHeight="1">
      <c r="A70" s="51" t="str">
        <f ca="1">INDIRECT("Datos!B"&amp;MATCH("RUBRO ITEM",Datos!B:B,0)+ROW()-MATCH("RUBRO ITEM",A:A,0)-1)</f>
        <v>6.2.2</v>
      </c>
      <c r="B70" s="396" t="str">
        <f t="shared" ca="1" si="5"/>
        <v>Excavación</v>
      </c>
      <c r="C70" s="156" t="str">
        <f t="shared" ca="1" si="6"/>
        <v>m3</v>
      </c>
      <c r="D70" s="397">
        <f t="shared" ca="1" si="7"/>
        <v>544</v>
      </c>
      <c r="E70" s="398" t="str">
        <f t="shared" ca="1" si="10"/>
        <v/>
      </c>
      <c r="F70" s="399">
        <f t="shared" ca="1" si="11"/>
        <v>0</v>
      </c>
      <c r="G70" s="399">
        <f t="shared" ca="1" si="12"/>
        <v>0</v>
      </c>
    </row>
    <row r="71" spans="1:7" ht="30" customHeight="1">
      <c r="A71" s="51" t="str">
        <f ca="1">INDIRECT("Datos!B"&amp;MATCH("RUBRO ITEM",Datos!B:B,0)+ROW()-MATCH("RUBRO ITEM",A:A,0)-1)</f>
        <v>6.2.3</v>
      </c>
      <c r="B71" s="396" t="str">
        <f t="shared" ca="1" si="5"/>
        <v>Demoliciones</v>
      </c>
      <c r="C71" s="156" t="str">
        <f t="shared" ca="1" si="6"/>
        <v>m3</v>
      </c>
      <c r="D71" s="397">
        <f t="shared" ca="1" si="7"/>
        <v>263</v>
      </c>
      <c r="E71" s="398" t="str">
        <f t="shared" ca="1" si="10"/>
        <v/>
      </c>
      <c r="F71" s="399">
        <f t="shared" ca="1" si="11"/>
        <v>0</v>
      </c>
      <c r="G71" s="399">
        <f t="shared" ca="1" si="12"/>
        <v>0</v>
      </c>
    </row>
    <row r="72" spans="1:7" ht="30" customHeight="1">
      <c r="A72" s="51" t="str">
        <f ca="1">INDIRECT("Datos!B"&amp;MATCH("RUBRO ITEM",Datos!B:B,0)+ROW()-MATCH("RUBRO ITEM",A:A,0)-1)</f>
        <v>6.2.4</v>
      </c>
      <c r="B72" s="396" t="str">
        <f t="shared" ca="1" si="5"/>
        <v>Hormigon de limpleza</v>
      </c>
      <c r="C72" s="156" t="str">
        <f t="shared" ca="1" si="6"/>
        <v>m3</v>
      </c>
      <c r="D72" s="397">
        <f t="shared" ca="1" si="7"/>
        <v>18</v>
      </c>
      <c r="E72" s="398" t="str">
        <f t="shared" ca="1" si="10"/>
        <v/>
      </c>
      <c r="F72" s="399">
        <f t="shared" ca="1" si="11"/>
        <v>0</v>
      </c>
      <c r="G72" s="399">
        <f t="shared" ca="1" si="12"/>
        <v>0</v>
      </c>
    </row>
    <row r="73" spans="1:7" ht="30" customHeight="1">
      <c r="A73" s="51" t="str">
        <f ca="1">INDIRECT("Datos!B"&amp;MATCH("RUBRO ITEM",Datos!B:B,0)+ROW()-MATCH("RUBRO ITEM",A:A,0)-1)</f>
        <v>6.2.5</v>
      </c>
      <c r="B73" s="396" t="str">
        <f t="shared" ca="1" si="5"/>
        <v>Hormigon H20</v>
      </c>
      <c r="C73" s="156" t="str">
        <f t="shared" ca="1" si="6"/>
        <v>m3</v>
      </c>
      <c r="D73" s="397">
        <f t="shared" ca="1" si="7"/>
        <v>799</v>
      </c>
      <c r="E73" s="398" t="str">
        <f t="shared" ca="1" si="10"/>
        <v/>
      </c>
      <c r="F73" s="399">
        <f t="shared" ca="1" si="11"/>
        <v>0</v>
      </c>
      <c r="G73" s="399">
        <f t="shared" ca="1" si="12"/>
        <v>0</v>
      </c>
    </row>
    <row r="74" spans="1:7" ht="30" customHeight="1">
      <c r="A74" s="51" t="str">
        <f ca="1">INDIRECT("Datos!B"&amp;MATCH("RUBRO ITEM",Datos!B:B,0)+ROW()-MATCH("RUBRO ITEM",A:A,0)-1)</f>
        <v>6.2.6</v>
      </c>
      <c r="B74" s="396" t="str">
        <f t="shared" ca="1" si="5"/>
        <v>Malla de acero</v>
      </c>
      <c r="C74" s="156" t="str">
        <f t="shared" ca="1" si="6"/>
        <v>kg</v>
      </c>
      <c r="D74" s="397">
        <f t="shared" ca="1" si="7"/>
        <v>20837</v>
      </c>
      <c r="E74" s="398" t="str">
        <f t="shared" ca="1" si="10"/>
        <v/>
      </c>
      <c r="F74" s="399">
        <f t="shared" ca="1" si="11"/>
        <v>0</v>
      </c>
      <c r="G74" s="399">
        <f t="shared" ca="1" si="12"/>
        <v>0</v>
      </c>
    </row>
    <row r="75" spans="1:7" ht="30" customHeight="1">
      <c r="A75" s="51" t="str">
        <f ca="1">INDIRECT("Datos!B"&amp;MATCH("RUBRO ITEM",Datos!B:B,0)+ROW()-MATCH("RUBRO ITEM",A:A,0)-1)</f>
        <v>6.2.7</v>
      </c>
      <c r="B75" s="396" t="str">
        <f t="shared" ca="1" si="5"/>
        <v>Remocion recubrimiento dañado y limpieza en pila, fondo losa y estribos</v>
      </c>
      <c r="C75" s="156" t="str">
        <f t="shared" ca="1" si="6"/>
        <v>m2</v>
      </c>
      <c r="D75" s="397">
        <f t="shared" ca="1" si="7"/>
        <v>311</v>
      </c>
      <c r="E75" s="398" t="str">
        <f t="shared" ca="1" si="10"/>
        <v/>
      </c>
      <c r="F75" s="399">
        <f t="shared" ca="1" si="11"/>
        <v>0</v>
      </c>
      <c r="G75" s="399">
        <f t="shared" ca="1" si="12"/>
        <v>0</v>
      </c>
    </row>
    <row r="76" spans="1:7" ht="30" customHeight="1">
      <c r="A76" s="51" t="str">
        <f ca="1">INDIRECT("Datos!B"&amp;MATCH("RUBRO ITEM",Datos!B:B,0)+ROW()-MATCH("RUBRO ITEM",A:A,0)-1)</f>
        <v>6.2.8</v>
      </c>
      <c r="B76" s="396" t="str">
        <f t="shared" ref="B76:B139" ca="1" si="13">IFERROR(VLOOKUP(A76,T_Computo_Presupuesto,2,FALSE),"")</f>
        <v>Arenado de armaduras existentes</v>
      </c>
      <c r="C76" s="156" t="str">
        <f t="shared" ref="C76:C139" ca="1" si="14">IFERROR(VLOOKUP(A76,T_Computo_Presupuesto,4,FALSE),"")</f>
        <v>m2</v>
      </c>
      <c r="D76" s="397">
        <f t="shared" ref="D76:D139" ca="1" si="15">IFERROR(VLOOKUP(A76,T_Computo_Presupuesto,5,FALSE),"")</f>
        <v>171</v>
      </c>
      <c r="E76" s="398" t="str">
        <f t="shared" ca="1" si="10"/>
        <v/>
      </c>
      <c r="F76" s="399">
        <f t="shared" ca="1" si="11"/>
        <v>0</v>
      </c>
      <c r="G76" s="399">
        <f t="shared" ca="1" si="12"/>
        <v>0</v>
      </c>
    </row>
    <row r="77" spans="1:7" ht="30" customHeight="1">
      <c r="A77" s="51" t="str">
        <f ca="1">INDIRECT("Datos!B"&amp;MATCH("RUBRO ITEM",Datos!B:B,0)+ROW()-MATCH("RUBRO ITEM",A:A,0)-1)</f>
        <v>6.2.9</v>
      </c>
      <c r="B77" s="396" t="str">
        <f t="shared" ca="1" si="13"/>
        <v>provision e instalacion de pernos de anclaje en estribos</v>
      </c>
      <c r="C77" s="156" t="str">
        <f t="shared" ca="1" si="14"/>
        <v>unidad</v>
      </c>
      <c r="D77" s="397">
        <f t="shared" ca="1" si="15"/>
        <v>120</v>
      </c>
      <c r="E77" s="398" t="str">
        <f t="shared" ca="1" si="10"/>
        <v/>
      </c>
      <c r="F77" s="399">
        <f t="shared" ca="1" si="11"/>
        <v>0</v>
      </c>
      <c r="G77" s="399">
        <f t="shared" ca="1" si="12"/>
        <v>0</v>
      </c>
    </row>
    <row r="78" spans="1:7" ht="30" customHeight="1">
      <c r="A78" s="51" t="str">
        <f ca="1">INDIRECT("Datos!B"&amp;MATCH("RUBRO ITEM",Datos!B:B,0)+ROW()-MATCH("RUBRO ITEM",A:A,0)-1)</f>
        <v>6.2.10</v>
      </c>
      <c r="B78" s="396" t="str">
        <f t="shared" ca="1" si="13"/>
        <v>Proteccion convertidor de óxido</v>
      </c>
      <c r="C78" s="156" t="str">
        <f t="shared" ca="1" si="14"/>
        <v>litros</v>
      </c>
      <c r="D78" s="397">
        <f t="shared" ca="1" si="15"/>
        <v>62</v>
      </c>
      <c r="E78" s="398" t="str">
        <f t="shared" ca="1" si="10"/>
        <v/>
      </c>
      <c r="F78" s="399">
        <f t="shared" ca="1" si="11"/>
        <v>0</v>
      </c>
      <c r="G78" s="399">
        <f t="shared" ca="1" si="12"/>
        <v>0</v>
      </c>
    </row>
    <row r="79" spans="1:7" ht="30" customHeight="1">
      <c r="A79" s="51" t="str">
        <f ca="1">INDIRECT("Datos!B"&amp;MATCH("RUBRO ITEM",Datos!B:B,0)+ROW()-MATCH("RUBRO ITEM",A:A,0)-1)</f>
        <v>6.2.11</v>
      </c>
      <c r="B79" s="396" t="str">
        <f t="shared" ca="1" si="13"/>
        <v>Puente de adherencia entre hormigones</v>
      </c>
      <c r="C79" s="156" t="str">
        <f t="shared" ca="1" si="14"/>
        <v>kg</v>
      </c>
      <c r="D79" s="397">
        <f t="shared" ca="1" si="15"/>
        <v>30</v>
      </c>
      <c r="E79" s="398" t="str">
        <f t="shared" ca="1" si="10"/>
        <v/>
      </c>
      <c r="F79" s="399">
        <f t="shared" ca="1" si="11"/>
        <v>0</v>
      </c>
      <c r="G79" s="399">
        <f t="shared" ca="1" si="12"/>
        <v>0</v>
      </c>
    </row>
    <row r="80" spans="1:7" ht="30" customHeight="1">
      <c r="A80" s="51" t="str">
        <f ca="1">INDIRECT("Datos!B"&amp;MATCH("RUBRO ITEM",Datos!B:B,0)+ROW()-MATCH("RUBRO ITEM",A:A,0)-1)</f>
        <v>6.2.12</v>
      </c>
      <c r="B80" s="396" t="str">
        <f t="shared" ca="1" si="13"/>
        <v>Juntas de dilatacion</v>
      </c>
      <c r="C80" s="156" t="str">
        <f t="shared" ca="1" si="14"/>
        <v>m</v>
      </c>
      <c r="D80" s="397">
        <f t="shared" ca="1" si="15"/>
        <v>72</v>
      </c>
      <c r="E80" s="398" t="str">
        <f t="shared" ca="1" si="10"/>
        <v/>
      </c>
      <c r="F80" s="399">
        <f t="shared" ca="1" si="11"/>
        <v>0</v>
      </c>
      <c r="G80" s="399">
        <f t="shared" ca="1" si="12"/>
        <v>0</v>
      </c>
    </row>
    <row r="81" spans="1:7" ht="30" customHeight="1">
      <c r="A81" s="51" t="str">
        <f ca="1">INDIRECT("Datos!B"&amp;MATCH("RUBRO ITEM",Datos!B:B,0)+ROW()-MATCH("RUBRO ITEM",A:A,0)-1)</f>
        <v>6.2.13</v>
      </c>
      <c r="B81" s="396" t="str">
        <f t="shared" ca="1" si="13"/>
        <v>Hormigón ciclopeo</v>
      </c>
      <c r="C81" s="156" t="str">
        <f t="shared" ca="1" si="14"/>
        <v>m3</v>
      </c>
      <c r="D81" s="397">
        <f t="shared" ca="1" si="15"/>
        <v>9</v>
      </c>
      <c r="E81" s="398" t="str">
        <f t="shared" ca="1" si="10"/>
        <v/>
      </c>
      <c r="F81" s="399">
        <f t="shared" ca="1" si="11"/>
        <v>0</v>
      </c>
      <c r="G81" s="399">
        <f t="shared" ca="1" si="12"/>
        <v>0</v>
      </c>
    </row>
    <row r="82" spans="1:7" ht="30" customHeight="1">
      <c r="A82" s="51" t="str">
        <f ca="1">INDIRECT("Datos!B"&amp;MATCH("RUBRO ITEM",Datos!B:B,0)+ROW()-MATCH("RUBRO ITEM",A:A,0)-1)</f>
        <v>6.2.14</v>
      </c>
      <c r="B82" s="396" t="str">
        <f t="shared" ca="1" si="13"/>
        <v>Aplicación puente de adherencia y reconstruccion de recubrimiento</v>
      </c>
      <c r="C82" s="156" t="str">
        <f t="shared" ca="1" si="14"/>
        <v>m2</v>
      </c>
      <c r="D82" s="397">
        <f t="shared" ca="1" si="15"/>
        <v>160</v>
      </c>
      <c r="E82" s="398" t="str">
        <f t="shared" ref="E82:E145" ca="1" si="16">IF(F82=0,"",CONVERTIRNUM(F82))</f>
        <v/>
      </c>
      <c r="F82" s="399">
        <f t="shared" ref="F82:F145" ca="1" si="17">IFERROR(VLOOKUP(A82,T_Computo_Presupuesto,7,FALSE),0)</f>
        <v>0</v>
      </c>
      <c r="G82" s="399">
        <f t="shared" ref="G82:G145" ca="1" si="18">ROUND(D82*F82,2)</f>
        <v>0</v>
      </c>
    </row>
    <row r="83" spans="1:7" ht="30" customHeight="1">
      <c r="A83" s="51" t="str">
        <f ca="1">INDIRECT("Datos!B"&amp;MATCH("RUBRO ITEM",Datos!B:B,0)+ROW()-MATCH("RUBRO ITEM",A:A,0)-1)</f>
        <v>6.2.15</v>
      </c>
      <c r="B83" s="396" t="str">
        <f t="shared" ca="1" si="13"/>
        <v>Juntas constructivas</v>
      </c>
      <c r="C83" s="156" t="str">
        <f t="shared" ca="1" si="14"/>
        <v>m3</v>
      </c>
      <c r="D83" s="397">
        <f t="shared" ca="1" si="15"/>
        <v>29</v>
      </c>
      <c r="E83" s="398" t="str">
        <f t="shared" ca="1" si="16"/>
        <v/>
      </c>
      <c r="F83" s="399">
        <f t="shared" ca="1" si="17"/>
        <v>0</v>
      </c>
      <c r="G83" s="399">
        <f t="shared" ca="1" si="18"/>
        <v>0</v>
      </c>
    </row>
    <row r="84" spans="1:7" ht="30" customHeight="1">
      <c r="A84" s="51">
        <f ca="1">INDIRECT("Datos!B"&amp;MATCH("RUBRO ITEM",Datos!B:B,0)+ROW()-MATCH("RUBRO ITEM",A:A,0)-1)</f>
        <v>0</v>
      </c>
      <c r="B84" s="396" t="str">
        <f t="shared" ca="1" si="13"/>
        <v/>
      </c>
      <c r="C84" s="156" t="str">
        <f t="shared" ca="1" si="14"/>
        <v/>
      </c>
      <c r="D84" s="397" t="str">
        <f t="shared" ca="1" si="15"/>
        <v/>
      </c>
      <c r="E84" s="398" t="str">
        <f t="shared" ca="1" si="16"/>
        <v/>
      </c>
      <c r="F84" s="399">
        <f t="shared" ca="1" si="17"/>
        <v>0</v>
      </c>
      <c r="G84" s="399" t="e">
        <f t="shared" ca="1" si="18"/>
        <v>#VALUE!</v>
      </c>
    </row>
    <row r="85" spans="1:7" ht="30" customHeight="1">
      <c r="A85" s="51">
        <f ca="1">INDIRECT("Datos!B"&amp;MATCH("RUBRO ITEM",Datos!B:B,0)+ROW()-MATCH("RUBRO ITEM",A:A,0)-1)</f>
        <v>0</v>
      </c>
      <c r="B85" s="396" t="str">
        <f t="shared" ca="1" si="13"/>
        <v/>
      </c>
      <c r="C85" s="156" t="str">
        <f t="shared" ca="1" si="14"/>
        <v/>
      </c>
      <c r="D85" s="397" t="str">
        <f t="shared" ca="1" si="15"/>
        <v/>
      </c>
      <c r="E85" s="398" t="str">
        <f t="shared" ca="1" si="16"/>
        <v/>
      </c>
      <c r="F85" s="399">
        <f t="shared" ca="1" si="17"/>
        <v>0</v>
      </c>
      <c r="G85" s="399" t="e">
        <f t="shared" ca="1" si="18"/>
        <v>#VALUE!</v>
      </c>
    </row>
    <row r="86" spans="1:7" ht="30" customHeight="1">
      <c r="A86" s="51">
        <f ca="1">INDIRECT("Datos!B"&amp;MATCH("RUBRO ITEM",Datos!B:B,0)+ROW()-MATCH("RUBRO ITEM",A:A,0)-1)</f>
        <v>0</v>
      </c>
      <c r="B86" s="396" t="str">
        <f t="shared" ca="1" si="13"/>
        <v/>
      </c>
      <c r="C86" s="156" t="str">
        <f t="shared" ca="1" si="14"/>
        <v/>
      </c>
      <c r="D86" s="397" t="str">
        <f t="shared" ca="1" si="15"/>
        <v/>
      </c>
      <c r="E86" s="398" t="str">
        <f t="shared" ca="1" si="16"/>
        <v/>
      </c>
      <c r="F86" s="399">
        <f t="shared" ca="1" si="17"/>
        <v>0</v>
      </c>
      <c r="G86" s="399" t="e">
        <f t="shared" ca="1" si="18"/>
        <v>#VALUE!</v>
      </c>
    </row>
    <row r="87" spans="1:7" ht="30" customHeight="1">
      <c r="A87" s="51">
        <f ca="1">INDIRECT("Datos!B"&amp;MATCH("RUBRO ITEM",Datos!B:B,0)+ROW()-MATCH("RUBRO ITEM",A:A,0)-1)</f>
        <v>0</v>
      </c>
      <c r="B87" s="396" t="str">
        <f t="shared" ca="1" si="13"/>
        <v/>
      </c>
      <c r="C87" s="156" t="str">
        <f t="shared" ca="1" si="14"/>
        <v/>
      </c>
      <c r="D87" s="397" t="str">
        <f t="shared" ca="1" si="15"/>
        <v/>
      </c>
      <c r="E87" s="398" t="str">
        <f t="shared" ca="1" si="16"/>
        <v/>
      </c>
      <c r="F87" s="399">
        <f t="shared" ca="1" si="17"/>
        <v>0</v>
      </c>
      <c r="G87" s="399" t="e">
        <f t="shared" ca="1" si="18"/>
        <v>#VALUE!</v>
      </c>
    </row>
    <row r="88" spans="1:7" ht="30" customHeight="1">
      <c r="A88" s="51">
        <f ca="1">INDIRECT("Datos!B"&amp;MATCH("RUBRO ITEM",Datos!B:B,0)+ROW()-MATCH("RUBRO ITEM",A:A,0)-1)</f>
        <v>0</v>
      </c>
      <c r="B88" s="396" t="str">
        <f t="shared" ca="1" si="13"/>
        <v/>
      </c>
      <c r="C88" s="156" t="str">
        <f t="shared" ca="1" si="14"/>
        <v/>
      </c>
      <c r="D88" s="397" t="str">
        <f t="shared" ca="1" si="15"/>
        <v/>
      </c>
      <c r="E88" s="398" t="str">
        <f t="shared" ca="1" si="16"/>
        <v/>
      </c>
      <c r="F88" s="399">
        <f t="shared" ca="1" si="17"/>
        <v>0</v>
      </c>
      <c r="G88" s="399" t="e">
        <f t="shared" ca="1" si="18"/>
        <v>#VALUE!</v>
      </c>
    </row>
    <row r="89" spans="1:7" ht="30" customHeight="1">
      <c r="A89" s="51">
        <f ca="1">INDIRECT("Datos!B"&amp;MATCH("RUBRO ITEM",Datos!B:B,0)+ROW()-MATCH("RUBRO ITEM",A:A,0)-1)</f>
        <v>0</v>
      </c>
      <c r="B89" s="396" t="str">
        <f t="shared" ca="1" si="13"/>
        <v/>
      </c>
      <c r="C89" s="156" t="str">
        <f t="shared" ca="1" si="14"/>
        <v/>
      </c>
      <c r="D89" s="397" t="str">
        <f t="shared" ca="1" si="15"/>
        <v/>
      </c>
      <c r="E89" s="398" t="str">
        <f t="shared" ca="1" si="16"/>
        <v/>
      </c>
      <c r="F89" s="399">
        <f t="shared" ca="1" si="17"/>
        <v>0</v>
      </c>
      <c r="G89" s="399" t="e">
        <f t="shared" ca="1" si="18"/>
        <v>#VALUE!</v>
      </c>
    </row>
    <row r="90" spans="1:7" ht="30" customHeight="1">
      <c r="A90" s="51">
        <f ca="1">INDIRECT("Datos!B"&amp;MATCH("RUBRO ITEM",Datos!B:B,0)+ROW()-MATCH("RUBRO ITEM",A:A,0)-1)</f>
        <v>0</v>
      </c>
      <c r="B90" s="396" t="str">
        <f t="shared" ca="1" si="13"/>
        <v/>
      </c>
      <c r="C90" s="156" t="str">
        <f t="shared" ca="1" si="14"/>
        <v/>
      </c>
      <c r="D90" s="397" t="str">
        <f t="shared" ca="1" si="15"/>
        <v/>
      </c>
      <c r="E90" s="398" t="str">
        <f t="shared" ca="1" si="16"/>
        <v/>
      </c>
      <c r="F90" s="399">
        <f t="shared" ca="1" si="17"/>
        <v>0</v>
      </c>
      <c r="G90" s="399" t="e">
        <f t="shared" ca="1" si="18"/>
        <v>#VALUE!</v>
      </c>
    </row>
    <row r="91" spans="1:7" ht="30" customHeight="1">
      <c r="A91" s="51">
        <f ca="1">INDIRECT("Datos!B"&amp;MATCH("RUBRO ITEM",Datos!B:B,0)+ROW()-MATCH("RUBRO ITEM",A:A,0)-1)</f>
        <v>0</v>
      </c>
      <c r="B91" s="396" t="str">
        <f t="shared" ca="1" si="13"/>
        <v/>
      </c>
      <c r="C91" s="156" t="str">
        <f t="shared" ca="1" si="14"/>
        <v/>
      </c>
      <c r="D91" s="397" t="str">
        <f t="shared" ca="1" si="15"/>
        <v/>
      </c>
      <c r="E91" s="398" t="str">
        <f t="shared" ca="1" si="16"/>
        <v/>
      </c>
      <c r="F91" s="399">
        <f t="shared" ca="1" si="17"/>
        <v>0</v>
      </c>
      <c r="G91" s="399" t="e">
        <f t="shared" ca="1" si="18"/>
        <v>#VALUE!</v>
      </c>
    </row>
    <row r="92" spans="1:7" ht="30" customHeight="1">
      <c r="A92" s="51">
        <f ca="1">INDIRECT("Datos!B"&amp;MATCH("RUBRO ITEM",Datos!B:B,0)+ROW()-MATCH("RUBRO ITEM",A:A,0)-1)</f>
        <v>0</v>
      </c>
      <c r="B92" s="396" t="str">
        <f t="shared" ca="1" si="13"/>
        <v/>
      </c>
      <c r="C92" s="156" t="str">
        <f t="shared" ca="1" si="14"/>
        <v/>
      </c>
      <c r="D92" s="397" t="str">
        <f t="shared" ca="1" si="15"/>
        <v/>
      </c>
      <c r="E92" s="398" t="str">
        <f t="shared" ca="1" si="16"/>
        <v/>
      </c>
      <c r="F92" s="399">
        <f t="shared" ca="1" si="17"/>
        <v>0</v>
      </c>
      <c r="G92" s="399" t="e">
        <f t="shared" ca="1" si="18"/>
        <v>#VALUE!</v>
      </c>
    </row>
    <row r="93" spans="1:7" ht="30" customHeight="1">
      <c r="A93" s="51">
        <f ca="1">INDIRECT("Datos!B"&amp;MATCH("RUBRO ITEM",Datos!B:B,0)+ROW()-MATCH("RUBRO ITEM",A:A,0)-1)</f>
        <v>0</v>
      </c>
      <c r="B93" s="396" t="str">
        <f t="shared" ca="1" si="13"/>
        <v/>
      </c>
      <c r="C93" s="156" t="str">
        <f t="shared" ca="1" si="14"/>
        <v/>
      </c>
      <c r="D93" s="397" t="str">
        <f t="shared" ca="1" si="15"/>
        <v/>
      </c>
      <c r="E93" s="398" t="str">
        <f t="shared" ca="1" si="16"/>
        <v/>
      </c>
      <c r="F93" s="399">
        <f t="shared" ca="1" si="17"/>
        <v>0</v>
      </c>
      <c r="G93" s="399" t="e">
        <f t="shared" ca="1" si="18"/>
        <v>#VALUE!</v>
      </c>
    </row>
    <row r="94" spans="1:7" ht="30" customHeight="1">
      <c r="A94" s="51">
        <f ca="1">INDIRECT("Datos!B"&amp;MATCH("RUBRO ITEM",Datos!B:B,0)+ROW()-MATCH("RUBRO ITEM",A:A,0)-1)</f>
        <v>0</v>
      </c>
      <c r="B94" s="396" t="str">
        <f t="shared" ca="1" si="13"/>
        <v/>
      </c>
      <c r="C94" s="156" t="str">
        <f t="shared" ca="1" si="14"/>
        <v/>
      </c>
      <c r="D94" s="397" t="str">
        <f t="shared" ca="1" si="15"/>
        <v/>
      </c>
      <c r="E94" s="398" t="str">
        <f t="shared" ca="1" si="16"/>
        <v/>
      </c>
      <c r="F94" s="399">
        <f t="shared" ca="1" si="17"/>
        <v>0</v>
      </c>
      <c r="G94" s="399" t="e">
        <f t="shared" ca="1" si="18"/>
        <v>#VALUE!</v>
      </c>
    </row>
    <row r="95" spans="1:7" ht="30" customHeight="1">
      <c r="A95" s="51">
        <f ca="1">INDIRECT("Datos!B"&amp;MATCH("RUBRO ITEM",Datos!B:B,0)+ROW()-MATCH("RUBRO ITEM",A:A,0)-1)</f>
        <v>0</v>
      </c>
      <c r="B95" s="396" t="str">
        <f t="shared" ca="1" si="13"/>
        <v/>
      </c>
      <c r="C95" s="156" t="str">
        <f t="shared" ca="1" si="14"/>
        <v/>
      </c>
      <c r="D95" s="397" t="str">
        <f t="shared" ca="1" si="15"/>
        <v/>
      </c>
      <c r="E95" s="398" t="str">
        <f t="shared" ca="1" si="16"/>
        <v/>
      </c>
      <c r="F95" s="399">
        <f t="shared" ca="1" si="17"/>
        <v>0</v>
      </c>
      <c r="G95" s="399" t="e">
        <f t="shared" ca="1" si="18"/>
        <v>#VALUE!</v>
      </c>
    </row>
    <row r="96" spans="1:7" ht="30" customHeight="1">
      <c r="A96" s="51">
        <f ca="1">INDIRECT("Datos!B"&amp;MATCH("RUBRO ITEM",Datos!B:B,0)+ROW()-MATCH("RUBRO ITEM",A:A,0)-1)</f>
        <v>0</v>
      </c>
      <c r="B96" s="396" t="str">
        <f t="shared" ca="1" si="13"/>
        <v/>
      </c>
      <c r="C96" s="156" t="str">
        <f t="shared" ca="1" si="14"/>
        <v/>
      </c>
      <c r="D96" s="397" t="str">
        <f t="shared" ca="1" si="15"/>
        <v/>
      </c>
      <c r="E96" s="398" t="str">
        <f t="shared" ca="1" si="16"/>
        <v/>
      </c>
      <c r="F96" s="399">
        <f t="shared" ca="1" si="17"/>
        <v>0</v>
      </c>
      <c r="G96" s="399" t="e">
        <f t="shared" ca="1" si="18"/>
        <v>#VALUE!</v>
      </c>
    </row>
    <row r="97" spans="1:7" ht="30" customHeight="1">
      <c r="A97" s="51">
        <f ca="1">INDIRECT("Datos!B"&amp;MATCH("RUBRO ITEM",Datos!B:B,0)+ROW()-MATCH("RUBRO ITEM",A:A,0)-1)</f>
        <v>0</v>
      </c>
      <c r="B97" s="396" t="str">
        <f t="shared" ca="1" si="13"/>
        <v/>
      </c>
      <c r="C97" s="156" t="str">
        <f t="shared" ca="1" si="14"/>
        <v/>
      </c>
      <c r="D97" s="397" t="str">
        <f t="shared" ca="1" si="15"/>
        <v/>
      </c>
      <c r="E97" s="398" t="str">
        <f t="shared" ca="1" si="16"/>
        <v/>
      </c>
      <c r="F97" s="399">
        <f t="shared" ca="1" si="17"/>
        <v>0</v>
      </c>
      <c r="G97" s="399" t="e">
        <f t="shared" ca="1" si="18"/>
        <v>#VALUE!</v>
      </c>
    </row>
    <row r="98" spans="1:7" ht="30" customHeight="1">
      <c r="A98" s="51">
        <f ca="1">INDIRECT("Datos!B"&amp;MATCH("RUBRO ITEM",Datos!B:B,0)+ROW()-MATCH("RUBRO ITEM",A:A,0)-1)</f>
        <v>0</v>
      </c>
      <c r="B98" s="396" t="str">
        <f t="shared" ca="1" si="13"/>
        <v/>
      </c>
      <c r="C98" s="156" t="str">
        <f t="shared" ca="1" si="14"/>
        <v/>
      </c>
      <c r="D98" s="397" t="str">
        <f t="shared" ca="1" si="15"/>
        <v/>
      </c>
      <c r="E98" s="398" t="str">
        <f t="shared" ca="1" si="16"/>
        <v/>
      </c>
      <c r="F98" s="399">
        <f t="shared" ca="1" si="17"/>
        <v>0</v>
      </c>
      <c r="G98" s="399" t="e">
        <f t="shared" ca="1" si="18"/>
        <v>#VALUE!</v>
      </c>
    </row>
    <row r="99" spans="1:7" ht="30" customHeight="1">
      <c r="A99" s="51">
        <f ca="1">INDIRECT("Datos!B"&amp;MATCH("RUBRO ITEM",Datos!B:B,0)+ROW()-MATCH("RUBRO ITEM",A:A,0)-1)</f>
        <v>0</v>
      </c>
      <c r="B99" s="396" t="str">
        <f t="shared" ca="1" si="13"/>
        <v/>
      </c>
      <c r="C99" s="156" t="str">
        <f t="shared" ca="1" si="14"/>
        <v/>
      </c>
      <c r="D99" s="397" t="str">
        <f t="shared" ca="1" si="15"/>
        <v/>
      </c>
      <c r="E99" s="398" t="str">
        <f t="shared" ca="1" si="16"/>
        <v/>
      </c>
      <c r="F99" s="399">
        <f t="shared" ca="1" si="17"/>
        <v>0</v>
      </c>
      <c r="G99" s="399" t="e">
        <f t="shared" ca="1" si="18"/>
        <v>#VALUE!</v>
      </c>
    </row>
    <row r="100" spans="1:7" ht="30" customHeight="1">
      <c r="A100" s="51">
        <f ca="1">INDIRECT("Datos!B"&amp;MATCH("RUBRO ITEM",Datos!B:B,0)+ROW()-MATCH("RUBRO ITEM",A:A,0)-1)</f>
        <v>0</v>
      </c>
      <c r="B100" s="396" t="str">
        <f t="shared" ca="1" si="13"/>
        <v/>
      </c>
      <c r="C100" s="156" t="str">
        <f t="shared" ca="1" si="14"/>
        <v/>
      </c>
      <c r="D100" s="397" t="str">
        <f t="shared" ca="1" si="15"/>
        <v/>
      </c>
      <c r="E100" s="398" t="str">
        <f t="shared" ca="1" si="16"/>
        <v/>
      </c>
      <c r="F100" s="399">
        <f t="shared" ca="1" si="17"/>
        <v>0</v>
      </c>
      <c r="G100" s="399" t="e">
        <f t="shared" ca="1" si="18"/>
        <v>#VALUE!</v>
      </c>
    </row>
    <row r="101" spans="1:7" ht="30" customHeight="1">
      <c r="A101" s="51">
        <f ca="1">INDIRECT("Datos!B"&amp;MATCH("RUBRO ITEM",Datos!B:B,0)+ROW()-MATCH("RUBRO ITEM",A:A,0)-1)</f>
        <v>0</v>
      </c>
      <c r="B101" s="396" t="str">
        <f t="shared" ca="1" si="13"/>
        <v/>
      </c>
      <c r="C101" s="156" t="str">
        <f t="shared" ca="1" si="14"/>
        <v/>
      </c>
      <c r="D101" s="397" t="str">
        <f t="shared" ca="1" si="15"/>
        <v/>
      </c>
      <c r="E101" s="398" t="str">
        <f t="shared" ca="1" si="16"/>
        <v/>
      </c>
      <c r="F101" s="399">
        <f t="shared" ca="1" si="17"/>
        <v>0</v>
      </c>
      <c r="G101" s="399" t="e">
        <f t="shared" ca="1" si="18"/>
        <v>#VALUE!</v>
      </c>
    </row>
    <row r="102" spans="1:7" ht="30" customHeight="1">
      <c r="A102" s="51">
        <f ca="1">INDIRECT("Datos!B"&amp;MATCH("RUBRO ITEM",Datos!B:B,0)+ROW()-MATCH("RUBRO ITEM",A:A,0)-1)</f>
        <v>0</v>
      </c>
      <c r="B102" s="396" t="str">
        <f t="shared" ca="1" si="13"/>
        <v/>
      </c>
      <c r="C102" s="156" t="str">
        <f t="shared" ca="1" si="14"/>
        <v/>
      </c>
      <c r="D102" s="397" t="str">
        <f t="shared" ca="1" si="15"/>
        <v/>
      </c>
      <c r="E102" s="398" t="str">
        <f t="shared" ca="1" si="16"/>
        <v/>
      </c>
      <c r="F102" s="399">
        <f t="shared" ca="1" si="17"/>
        <v>0</v>
      </c>
      <c r="G102" s="399" t="e">
        <f t="shared" ca="1" si="18"/>
        <v>#VALUE!</v>
      </c>
    </row>
    <row r="103" spans="1:7" ht="30" customHeight="1">
      <c r="A103" s="51">
        <f ca="1">INDIRECT("Datos!B"&amp;MATCH("RUBRO ITEM",Datos!B:B,0)+ROW()-MATCH("RUBRO ITEM",A:A,0)-1)</f>
        <v>0</v>
      </c>
      <c r="B103" s="396" t="str">
        <f t="shared" ca="1" si="13"/>
        <v/>
      </c>
      <c r="C103" s="156" t="str">
        <f t="shared" ca="1" si="14"/>
        <v/>
      </c>
      <c r="D103" s="397" t="str">
        <f t="shared" ca="1" si="15"/>
        <v/>
      </c>
      <c r="E103" s="398" t="str">
        <f t="shared" ca="1" si="16"/>
        <v/>
      </c>
      <c r="F103" s="399">
        <f t="shared" ca="1" si="17"/>
        <v>0</v>
      </c>
      <c r="G103" s="399" t="e">
        <f t="shared" ca="1" si="18"/>
        <v>#VALUE!</v>
      </c>
    </row>
    <row r="104" spans="1:7" ht="30" customHeight="1">
      <c r="A104" s="51">
        <f ca="1">INDIRECT("Datos!B"&amp;MATCH("RUBRO ITEM",Datos!B:B,0)+ROW()-MATCH("RUBRO ITEM",A:A,0)-1)</f>
        <v>0</v>
      </c>
      <c r="B104" s="396" t="str">
        <f t="shared" ca="1" si="13"/>
        <v/>
      </c>
      <c r="C104" s="156" t="str">
        <f t="shared" ca="1" si="14"/>
        <v/>
      </c>
      <c r="D104" s="397" t="str">
        <f t="shared" ca="1" si="15"/>
        <v/>
      </c>
      <c r="E104" s="398" t="str">
        <f t="shared" ca="1" si="16"/>
        <v/>
      </c>
      <c r="F104" s="399">
        <f t="shared" ca="1" si="17"/>
        <v>0</v>
      </c>
      <c r="G104" s="399" t="e">
        <f t="shared" ca="1" si="18"/>
        <v>#VALUE!</v>
      </c>
    </row>
    <row r="105" spans="1:7" ht="30" customHeight="1">
      <c r="A105" s="51">
        <f ca="1">INDIRECT("Datos!B"&amp;MATCH("RUBRO ITEM",Datos!B:B,0)+ROW()-MATCH("RUBRO ITEM",A:A,0)-1)</f>
        <v>0</v>
      </c>
      <c r="B105" s="396" t="str">
        <f t="shared" ca="1" si="13"/>
        <v/>
      </c>
      <c r="C105" s="156" t="str">
        <f t="shared" ca="1" si="14"/>
        <v/>
      </c>
      <c r="D105" s="397" t="str">
        <f t="shared" ca="1" si="15"/>
        <v/>
      </c>
      <c r="E105" s="398" t="str">
        <f t="shared" ca="1" si="16"/>
        <v/>
      </c>
      <c r="F105" s="399">
        <f t="shared" ca="1" si="17"/>
        <v>0</v>
      </c>
      <c r="G105" s="399" t="e">
        <f t="shared" ca="1" si="18"/>
        <v>#VALUE!</v>
      </c>
    </row>
    <row r="106" spans="1:7" ht="30" customHeight="1">
      <c r="A106" s="51">
        <f ca="1">INDIRECT("Datos!B"&amp;MATCH("RUBRO ITEM",Datos!B:B,0)+ROW()-MATCH("RUBRO ITEM",A:A,0)-1)</f>
        <v>0</v>
      </c>
      <c r="B106" s="396" t="str">
        <f t="shared" ca="1" si="13"/>
        <v/>
      </c>
      <c r="C106" s="156" t="str">
        <f t="shared" ca="1" si="14"/>
        <v/>
      </c>
      <c r="D106" s="397" t="str">
        <f t="shared" ca="1" si="15"/>
        <v/>
      </c>
      <c r="E106" s="398" t="str">
        <f t="shared" ca="1" si="16"/>
        <v/>
      </c>
      <c r="F106" s="399">
        <f t="shared" ca="1" si="17"/>
        <v>0</v>
      </c>
      <c r="G106" s="399" t="e">
        <f t="shared" ca="1" si="18"/>
        <v>#VALUE!</v>
      </c>
    </row>
    <row r="107" spans="1:7" ht="30" customHeight="1">
      <c r="A107" s="51">
        <f ca="1">INDIRECT("Datos!B"&amp;MATCH("RUBRO ITEM",Datos!B:B,0)+ROW()-MATCH("RUBRO ITEM",A:A,0)-1)</f>
        <v>0</v>
      </c>
      <c r="B107" s="396" t="str">
        <f t="shared" ca="1" si="13"/>
        <v/>
      </c>
      <c r="C107" s="156" t="str">
        <f t="shared" ca="1" si="14"/>
        <v/>
      </c>
      <c r="D107" s="397" t="str">
        <f t="shared" ca="1" si="15"/>
        <v/>
      </c>
      <c r="E107" s="398" t="str">
        <f t="shared" ca="1" si="16"/>
        <v/>
      </c>
      <c r="F107" s="399">
        <f t="shared" ca="1" si="17"/>
        <v>0</v>
      </c>
      <c r="G107" s="399" t="e">
        <f t="shared" ca="1" si="18"/>
        <v>#VALUE!</v>
      </c>
    </row>
    <row r="108" spans="1:7" ht="30" customHeight="1">
      <c r="A108" s="51">
        <f ca="1">INDIRECT("Datos!B"&amp;MATCH("RUBRO ITEM",Datos!B:B,0)+ROW()-MATCH("RUBRO ITEM",A:A,0)-1)</f>
        <v>0</v>
      </c>
      <c r="B108" s="396" t="str">
        <f t="shared" ca="1" si="13"/>
        <v/>
      </c>
      <c r="C108" s="156" t="str">
        <f t="shared" ca="1" si="14"/>
        <v/>
      </c>
      <c r="D108" s="397" t="str">
        <f t="shared" ca="1" si="15"/>
        <v/>
      </c>
      <c r="E108" s="398" t="str">
        <f t="shared" ca="1" si="16"/>
        <v/>
      </c>
      <c r="F108" s="399">
        <f t="shared" ca="1" si="17"/>
        <v>0</v>
      </c>
      <c r="G108" s="399" t="e">
        <f t="shared" ca="1" si="18"/>
        <v>#VALUE!</v>
      </c>
    </row>
    <row r="109" spans="1:7" ht="30" customHeight="1">
      <c r="A109" s="51">
        <f ca="1">INDIRECT("Datos!B"&amp;MATCH("RUBRO ITEM",Datos!B:B,0)+ROW()-MATCH("RUBRO ITEM",A:A,0)-1)</f>
        <v>0</v>
      </c>
      <c r="B109" s="396" t="str">
        <f t="shared" ca="1" si="13"/>
        <v/>
      </c>
      <c r="C109" s="156" t="str">
        <f t="shared" ca="1" si="14"/>
        <v/>
      </c>
      <c r="D109" s="397" t="str">
        <f t="shared" ca="1" si="15"/>
        <v/>
      </c>
      <c r="E109" s="398" t="str">
        <f t="shared" ca="1" si="16"/>
        <v/>
      </c>
      <c r="F109" s="399">
        <f t="shared" ca="1" si="17"/>
        <v>0</v>
      </c>
      <c r="G109" s="399" t="e">
        <f t="shared" ca="1" si="18"/>
        <v>#VALUE!</v>
      </c>
    </row>
    <row r="110" spans="1:7" ht="30" customHeight="1">
      <c r="A110" s="51">
        <f ca="1">INDIRECT("Datos!B"&amp;MATCH("RUBRO ITEM",Datos!B:B,0)+ROW()-MATCH("RUBRO ITEM",A:A,0)-1)</f>
        <v>0</v>
      </c>
      <c r="B110" s="396" t="str">
        <f t="shared" ca="1" si="13"/>
        <v/>
      </c>
      <c r="C110" s="156" t="str">
        <f t="shared" ca="1" si="14"/>
        <v/>
      </c>
      <c r="D110" s="397" t="str">
        <f t="shared" ca="1" si="15"/>
        <v/>
      </c>
      <c r="E110" s="398" t="str">
        <f t="shared" ca="1" si="16"/>
        <v/>
      </c>
      <c r="F110" s="399">
        <f t="shared" ca="1" si="17"/>
        <v>0</v>
      </c>
      <c r="G110" s="399" t="e">
        <f t="shared" ca="1" si="18"/>
        <v>#VALUE!</v>
      </c>
    </row>
    <row r="111" spans="1:7" ht="30" customHeight="1">
      <c r="A111" s="51">
        <f ca="1">INDIRECT("Datos!B"&amp;MATCH("RUBRO ITEM",Datos!B:B,0)+ROW()-MATCH("RUBRO ITEM",A:A,0)-1)</f>
        <v>0</v>
      </c>
      <c r="B111" s="396" t="str">
        <f t="shared" ca="1" si="13"/>
        <v/>
      </c>
      <c r="C111" s="156" t="str">
        <f t="shared" ca="1" si="14"/>
        <v/>
      </c>
      <c r="D111" s="397" t="str">
        <f t="shared" ca="1" si="15"/>
        <v/>
      </c>
      <c r="E111" s="398" t="str">
        <f t="shared" ca="1" si="16"/>
        <v/>
      </c>
      <c r="F111" s="399">
        <f t="shared" ca="1" si="17"/>
        <v>0</v>
      </c>
      <c r="G111" s="399" t="e">
        <f t="shared" ca="1" si="18"/>
        <v>#VALUE!</v>
      </c>
    </row>
    <row r="112" spans="1:7" ht="30" customHeight="1">
      <c r="A112" s="51">
        <f ca="1">INDIRECT("Datos!B"&amp;MATCH("RUBRO ITEM",Datos!B:B,0)+ROW()-MATCH("RUBRO ITEM",A:A,0)-1)</f>
        <v>0</v>
      </c>
      <c r="B112" s="396" t="str">
        <f t="shared" ca="1" si="13"/>
        <v/>
      </c>
      <c r="C112" s="156" t="str">
        <f t="shared" ca="1" si="14"/>
        <v/>
      </c>
      <c r="D112" s="397" t="str">
        <f t="shared" ca="1" si="15"/>
        <v/>
      </c>
      <c r="E112" s="398" t="str">
        <f t="shared" ca="1" si="16"/>
        <v/>
      </c>
      <c r="F112" s="399">
        <f t="shared" ca="1" si="17"/>
        <v>0</v>
      </c>
      <c r="G112" s="399" t="e">
        <f t="shared" ca="1" si="18"/>
        <v>#VALUE!</v>
      </c>
    </row>
    <row r="113" spans="1:7" ht="30" customHeight="1">
      <c r="A113" s="51">
        <f ca="1">INDIRECT("Datos!B"&amp;MATCH("RUBRO ITEM",Datos!B:B,0)+ROW()-MATCH("RUBRO ITEM",A:A,0)-1)</f>
        <v>0</v>
      </c>
      <c r="B113" s="396" t="str">
        <f t="shared" ca="1" si="13"/>
        <v/>
      </c>
      <c r="C113" s="156" t="str">
        <f t="shared" ca="1" si="14"/>
        <v/>
      </c>
      <c r="D113" s="397" t="str">
        <f t="shared" ca="1" si="15"/>
        <v/>
      </c>
      <c r="E113" s="398" t="str">
        <f t="shared" ca="1" si="16"/>
        <v/>
      </c>
      <c r="F113" s="399">
        <f t="shared" ca="1" si="17"/>
        <v>0</v>
      </c>
      <c r="G113" s="399" t="e">
        <f t="shared" ca="1" si="18"/>
        <v>#VALUE!</v>
      </c>
    </row>
    <row r="114" spans="1:7" ht="30" customHeight="1">
      <c r="A114" s="51">
        <f ca="1">INDIRECT("Datos!B"&amp;MATCH("RUBRO ITEM",Datos!B:B,0)+ROW()-MATCH("RUBRO ITEM",A:A,0)-1)</f>
        <v>0</v>
      </c>
      <c r="B114" s="396" t="str">
        <f t="shared" ca="1" si="13"/>
        <v/>
      </c>
      <c r="C114" s="156" t="str">
        <f t="shared" ca="1" si="14"/>
        <v/>
      </c>
      <c r="D114" s="397" t="str">
        <f t="shared" ca="1" si="15"/>
        <v/>
      </c>
      <c r="E114" s="398" t="str">
        <f t="shared" ca="1" si="16"/>
        <v/>
      </c>
      <c r="F114" s="399">
        <f t="shared" ca="1" si="17"/>
        <v>0</v>
      </c>
      <c r="G114" s="399" t="e">
        <f t="shared" ca="1" si="18"/>
        <v>#VALUE!</v>
      </c>
    </row>
    <row r="115" spans="1:7" ht="30" customHeight="1">
      <c r="A115" s="51">
        <f ca="1">INDIRECT("Datos!B"&amp;MATCH("RUBRO ITEM",Datos!B:B,0)+ROW()-MATCH("RUBRO ITEM",A:A,0)-1)</f>
        <v>0</v>
      </c>
      <c r="B115" s="396" t="str">
        <f t="shared" ca="1" si="13"/>
        <v/>
      </c>
      <c r="C115" s="156" t="str">
        <f t="shared" ca="1" si="14"/>
        <v/>
      </c>
      <c r="D115" s="397" t="str">
        <f t="shared" ca="1" si="15"/>
        <v/>
      </c>
      <c r="E115" s="398" t="str">
        <f t="shared" ca="1" si="16"/>
        <v/>
      </c>
      <c r="F115" s="399">
        <f t="shared" ca="1" si="17"/>
        <v>0</v>
      </c>
      <c r="G115" s="399" t="e">
        <f t="shared" ca="1" si="18"/>
        <v>#VALUE!</v>
      </c>
    </row>
    <row r="116" spans="1:7" ht="30" customHeight="1">
      <c r="A116" s="51">
        <f ca="1">INDIRECT("Datos!B"&amp;MATCH("RUBRO ITEM",Datos!B:B,0)+ROW()-MATCH("RUBRO ITEM",A:A,0)-1)</f>
        <v>0</v>
      </c>
      <c r="B116" s="396" t="str">
        <f t="shared" ca="1" si="13"/>
        <v/>
      </c>
      <c r="C116" s="156" t="str">
        <f t="shared" ca="1" si="14"/>
        <v/>
      </c>
      <c r="D116" s="397" t="str">
        <f t="shared" ca="1" si="15"/>
        <v/>
      </c>
      <c r="E116" s="398" t="str">
        <f t="shared" ca="1" si="16"/>
        <v/>
      </c>
      <c r="F116" s="399">
        <f t="shared" ca="1" si="17"/>
        <v>0</v>
      </c>
      <c r="G116" s="399" t="e">
        <f t="shared" ca="1" si="18"/>
        <v>#VALUE!</v>
      </c>
    </row>
    <row r="117" spans="1:7" ht="30" customHeight="1">
      <c r="A117" s="51">
        <f ca="1">INDIRECT("Datos!B"&amp;MATCH("RUBRO ITEM",Datos!B:B,0)+ROW()-MATCH("RUBRO ITEM",A:A,0)-1)</f>
        <v>0</v>
      </c>
      <c r="B117" s="396" t="str">
        <f t="shared" ca="1" si="13"/>
        <v/>
      </c>
      <c r="C117" s="156" t="str">
        <f t="shared" ca="1" si="14"/>
        <v/>
      </c>
      <c r="D117" s="397" t="str">
        <f t="shared" ca="1" si="15"/>
        <v/>
      </c>
      <c r="E117" s="398" t="str">
        <f t="shared" ca="1" si="16"/>
        <v/>
      </c>
      <c r="F117" s="399">
        <f t="shared" ca="1" si="17"/>
        <v>0</v>
      </c>
      <c r="G117" s="399" t="e">
        <f t="shared" ca="1" si="18"/>
        <v>#VALUE!</v>
      </c>
    </row>
    <row r="118" spans="1:7" ht="30" customHeight="1">
      <c r="A118" s="51">
        <f ca="1">INDIRECT("Datos!B"&amp;MATCH("RUBRO ITEM",Datos!B:B,0)+ROW()-MATCH("RUBRO ITEM",A:A,0)-1)</f>
        <v>0</v>
      </c>
      <c r="B118" s="396" t="str">
        <f t="shared" ca="1" si="13"/>
        <v/>
      </c>
      <c r="C118" s="156" t="str">
        <f t="shared" ca="1" si="14"/>
        <v/>
      </c>
      <c r="D118" s="397" t="str">
        <f t="shared" ca="1" si="15"/>
        <v/>
      </c>
      <c r="E118" s="398" t="str">
        <f t="shared" ca="1" si="16"/>
        <v/>
      </c>
      <c r="F118" s="399">
        <f t="shared" ca="1" si="17"/>
        <v>0</v>
      </c>
      <c r="G118" s="399" t="e">
        <f t="shared" ca="1" si="18"/>
        <v>#VALUE!</v>
      </c>
    </row>
    <row r="119" spans="1:7" ht="30" customHeight="1">
      <c r="A119" s="51">
        <f ca="1">INDIRECT("Datos!B"&amp;MATCH("RUBRO ITEM",Datos!B:B,0)+ROW()-MATCH("RUBRO ITEM",A:A,0)-1)</f>
        <v>0</v>
      </c>
      <c r="B119" s="396" t="str">
        <f t="shared" ca="1" si="13"/>
        <v/>
      </c>
      <c r="C119" s="156" t="str">
        <f t="shared" ca="1" si="14"/>
        <v/>
      </c>
      <c r="D119" s="397" t="str">
        <f t="shared" ca="1" si="15"/>
        <v/>
      </c>
      <c r="E119" s="398" t="str">
        <f t="shared" ca="1" si="16"/>
        <v/>
      </c>
      <c r="F119" s="399">
        <f t="shared" ca="1" si="17"/>
        <v>0</v>
      </c>
      <c r="G119" s="399" t="e">
        <f t="shared" ca="1" si="18"/>
        <v>#VALUE!</v>
      </c>
    </row>
    <row r="120" spans="1:7" ht="30" customHeight="1">
      <c r="A120" s="51">
        <f ca="1">INDIRECT("Datos!B"&amp;MATCH("RUBRO ITEM",Datos!B:B,0)+ROW()-MATCH("RUBRO ITEM",A:A,0)-1)</f>
        <v>0</v>
      </c>
      <c r="B120" s="396" t="str">
        <f t="shared" ca="1" si="13"/>
        <v/>
      </c>
      <c r="C120" s="156" t="str">
        <f t="shared" ca="1" si="14"/>
        <v/>
      </c>
      <c r="D120" s="397" t="str">
        <f t="shared" ca="1" si="15"/>
        <v/>
      </c>
      <c r="E120" s="398" t="str">
        <f t="shared" ca="1" si="16"/>
        <v/>
      </c>
      <c r="F120" s="399">
        <f t="shared" ca="1" si="17"/>
        <v>0</v>
      </c>
      <c r="G120" s="399" t="e">
        <f t="shared" ca="1" si="18"/>
        <v>#VALUE!</v>
      </c>
    </row>
    <row r="121" spans="1:7" ht="30" customHeight="1">
      <c r="A121" s="51">
        <f ca="1">INDIRECT("Datos!B"&amp;MATCH("RUBRO ITEM",Datos!B:B,0)+ROW()-MATCH("RUBRO ITEM",A:A,0)-1)</f>
        <v>0</v>
      </c>
      <c r="B121" s="396" t="str">
        <f t="shared" ca="1" si="13"/>
        <v/>
      </c>
      <c r="C121" s="156" t="str">
        <f t="shared" ca="1" si="14"/>
        <v/>
      </c>
      <c r="D121" s="397" t="str">
        <f t="shared" ca="1" si="15"/>
        <v/>
      </c>
      <c r="E121" s="398" t="str">
        <f t="shared" ca="1" si="16"/>
        <v/>
      </c>
      <c r="F121" s="399">
        <f t="shared" ca="1" si="17"/>
        <v>0</v>
      </c>
      <c r="G121" s="399" t="e">
        <f t="shared" ca="1" si="18"/>
        <v>#VALUE!</v>
      </c>
    </row>
    <row r="122" spans="1:7" ht="30" customHeight="1">
      <c r="A122" s="51">
        <f ca="1">INDIRECT("Datos!B"&amp;MATCH("RUBRO ITEM",Datos!B:B,0)+ROW()-MATCH("RUBRO ITEM",A:A,0)-1)</f>
        <v>0</v>
      </c>
      <c r="B122" s="396" t="str">
        <f t="shared" ca="1" si="13"/>
        <v/>
      </c>
      <c r="C122" s="156" t="str">
        <f t="shared" ca="1" si="14"/>
        <v/>
      </c>
      <c r="D122" s="397" t="str">
        <f t="shared" ca="1" si="15"/>
        <v/>
      </c>
      <c r="E122" s="398" t="str">
        <f t="shared" ca="1" si="16"/>
        <v/>
      </c>
      <c r="F122" s="399">
        <f t="shared" ca="1" si="17"/>
        <v>0</v>
      </c>
      <c r="G122" s="399" t="e">
        <f t="shared" ca="1" si="18"/>
        <v>#VALUE!</v>
      </c>
    </row>
    <row r="123" spans="1:7" ht="30" customHeight="1">
      <c r="A123" s="51">
        <f ca="1">INDIRECT("Datos!B"&amp;MATCH("RUBRO ITEM",Datos!B:B,0)+ROW()-MATCH("RUBRO ITEM",A:A,0)-1)</f>
        <v>0</v>
      </c>
      <c r="B123" s="396" t="str">
        <f t="shared" ca="1" si="13"/>
        <v/>
      </c>
      <c r="C123" s="156" t="str">
        <f t="shared" ca="1" si="14"/>
        <v/>
      </c>
      <c r="D123" s="397" t="str">
        <f t="shared" ca="1" si="15"/>
        <v/>
      </c>
      <c r="E123" s="398" t="str">
        <f t="shared" ca="1" si="16"/>
        <v/>
      </c>
      <c r="F123" s="399">
        <f t="shared" ca="1" si="17"/>
        <v>0</v>
      </c>
      <c r="G123" s="399" t="e">
        <f t="shared" ca="1" si="18"/>
        <v>#VALUE!</v>
      </c>
    </row>
    <row r="124" spans="1:7" ht="30" customHeight="1">
      <c r="A124" s="51">
        <f ca="1">INDIRECT("Datos!B"&amp;MATCH("RUBRO ITEM",Datos!B:B,0)+ROW()-MATCH("RUBRO ITEM",A:A,0)-1)</f>
        <v>0</v>
      </c>
      <c r="B124" s="396" t="str">
        <f t="shared" ca="1" si="13"/>
        <v/>
      </c>
      <c r="C124" s="156" t="str">
        <f t="shared" ca="1" si="14"/>
        <v/>
      </c>
      <c r="D124" s="397" t="str">
        <f t="shared" ca="1" si="15"/>
        <v/>
      </c>
      <c r="E124" s="398" t="str">
        <f t="shared" ca="1" si="16"/>
        <v/>
      </c>
      <c r="F124" s="399">
        <f t="shared" ca="1" si="17"/>
        <v>0</v>
      </c>
      <c r="G124" s="399" t="e">
        <f t="shared" ca="1" si="18"/>
        <v>#VALUE!</v>
      </c>
    </row>
    <row r="125" spans="1:7" ht="30" customHeight="1">
      <c r="A125" s="51">
        <f ca="1">INDIRECT("Datos!B"&amp;MATCH("RUBRO ITEM",Datos!B:B,0)+ROW()-MATCH("RUBRO ITEM",A:A,0)-1)</f>
        <v>0</v>
      </c>
      <c r="B125" s="396" t="str">
        <f t="shared" ca="1" si="13"/>
        <v/>
      </c>
      <c r="C125" s="156" t="str">
        <f t="shared" ca="1" si="14"/>
        <v/>
      </c>
      <c r="D125" s="397" t="str">
        <f t="shared" ca="1" si="15"/>
        <v/>
      </c>
      <c r="E125" s="398" t="str">
        <f t="shared" ca="1" si="16"/>
        <v/>
      </c>
      <c r="F125" s="399">
        <f t="shared" ca="1" si="17"/>
        <v>0</v>
      </c>
      <c r="G125" s="399" t="e">
        <f t="shared" ca="1" si="18"/>
        <v>#VALUE!</v>
      </c>
    </row>
    <row r="126" spans="1:7" ht="30" customHeight="1">
      <c r="A126" s="51">
        <f ca="1">INDIRECT("Datos!B"&amp;MATCH("RUBRO ITEM",Datos!B:B,0)+ROW()-MATCH("RUBRO ITEM",A:A,0)-1)</f>
        <v>0</v>
      </c>
      <c r="B126" s="396" t="str">
        <f t="shared" ca="1" si="13"/>
        <v/>
      </c>
      <c r="C126" s="156" t="str">
        <f t="shared" ca="1" si="14"/>
        <v/>
      </c>
      <c r="D126" s="397" t="str">
        <f t="shared" ca="1" si="15"/>
        <v/>
      </c>
      <c r="E126" s="398" t="str">
        <f t="shared" ca="1" si="16"/>
        <v/>
      </c>
      <c r="F126" s="399">
        <f t="shared" ca="1" si="17"/>
        <v>0</v>
      </c>
      <c r="G126" s="399" t="e">
        <f t="shared" ca="1" si="18"/>
        <v>#VALUE!</v>
      </c>
    </row>
    <row r="127" spans="1:7" ht="30" customHeight="1">
      <c r="A127" s="51">
        <f ca="1">INDIRECT("Datos!B"&amp;MATCH("RUBRO ITEM",Datos!B:B,0)+ROW()-MATCH("RUBRO ITEM",A:A,0)-1)</f>
        <v>0</v>
      </c>
      <c r="B127" s="396" t="str">
        <f t="shared" ca="1" si="13"/>
        <v/>
      </c>
      <c r="C127" s="156" t="str">
        <f t="shared" ca="1" si="14"/>
        <v/>
      </c>
      <c r="D127" s="397" t="str">
        <f t="shared" ca="1" si="15"/>
        <v/>
      </c>
      <c r="E127" s="398" t="str">
        <f t="shared" ca="1" si="16"/>
        <v/>
      </c>
      <c r="F127" s="399">
        <f t="shared" ca="1" si="17"/>
        <v>0</v>
      </c>
      <c r="G127" s="399" t="e">
        <f t="shared" ca="1" si="18"/>
        <v>#VALUE!</v>
      </c>
    </row>
    <row r="128" spans="1:7" ht="30" customHeight="1">
      <c r="A128" s="51">
        <f ca="1">INDIRECT("Datos!B"&amp;MATCH("RUBRO ITEM",Datos!B:B,0)+ROW()-MATCH("RUBRO ITEM",A:A,0)-1)</f>
        <v>0</v>
      </c>
      <c r="B128" s="396" t="str">
        <f t="shared" ca="1" si="13"/>
        <v/>
      </c>
      <c r="C128" s="156" t="str">
        <f t="shared" ca="1" si="14"/>
        <v/>
      </c>
      <c r="D128" s="397" t="str">
        <f t="shared" ca="1" si="15"/>
        <v/>
      </c>
      <c r="E128" s="398" t="str">
        <f t="shared" ca="1" si="16"/>
        <v/>
      </c>
      <c r="F128" s="399">
        <f t="shared" ca="1" si="17"/>
        <v>0</v>
      </c>
      <c r="G128" s="399" t="e">
        <f t="shared" ca="1" si="18"/>
        <v>#VALUE!</v>
      </c>
    </row>
    <row r="129" spans="1:7" ht="30" customHeight="1">
      <c r="A129" s="51">
        <f ca="1">INDIRECT("Datos!B"&amp;MATCH("RUBRO ITEM",Datos!B:B,0)+ROW()-MATCH("RUBRO ITEM",A:A,0)-1)</f>
        <v>0</v>
      </c>
      <c r="B129" s="396" t="str">
        <f t="shared" ca="1" si="13"/>
        <v/>
      </c>
      <c r="C129" s="156" t="str">
        <f t="shared" ca="1" si="14"/>
        <v/>
      </c>
      <c r="D129" s="397" t="str">
        <f t="shared" ca="1" si="15"/>
        <v/>
      </c>
      <c r="E129" s="398" t="str">
        <f t="shared" ca="1" si="16"/>
        <v/>
      </c>
      <c r="F129" s="399">
        <f t="shared" ca="1" si="17"/>
        <v>0</v>
      </c>
      <c r="G129" s="399" t="e">
        <f t="shared" ca="1" si="18"/>
        <v>#VALUE!</v>
      </c>
    </row>
    <row r="130" spans="1:7" ht="30" customHeight="1">
      <c r="A130" s="51">
        <f ca="1">INDIRECT("Datos!B"&amp;MATCH("RUBRO ITEM",Datos!B:B,0)+ROW()-MATCH("RUBRO ITEM",A:A,0)-1)</f>
        <v>0</v>
      </c>
      <c r="B130" s="396" t="str">
        <f t="shared" ca="1" si="13"/>
        <v/>
      </c>
      <c r="C130" s="156" t="str">
        <f t="shared" ca="1" si="14"/>
        <v/>
      </c>
      <c r="D130" s="397" t="str">
        <f t="shared" ca="1" si="15"/>
        <v/>
      </c>
      <c r="E130" s="398" t="str">
        <f t="shared" ca="1" si="16"/>
        <v/>
      </c>
      <c r="F130" s="399">
        <f t="shared" ca="1" si="17"/>
        <v>0</v>
      </c>
      <c r="G130" s="399" t="e">
        <f t="shared" ca="1" si="18"/>
        <v>#VALUE!</v>
      </c>
    </row>
    <row r="131" spans="1:7" ht="30" customHeight="1">
      <c r="A131" s="51">
        <f ca="1">INDIRECT("Datos!B"&amp;MATCH("RUBRO ITEM",Datos!B:B,0)+ROW()-MATCH("RUBRO ITEM",A:A,0)-1)</f>
        <v>0</v>
      </c>
      <c r="B131" s="396" t="str">
        <f t="shared" ca="1" si="13"/>
        <v/>
      </c>
      <c r="C131" s="156" t="str">
        <f t="shared" ca="1" si="14"/>
        <v/>
      </c>
      <c r="D131" s="397" t="str">
        <f t="shared" ca="1" si="15"/>
        <v/>
      </c>
      <c r="E131" s="398" t="str">
        <f t="shared" ca="1" si="16"/>
        <v/>
      </c>
      <c r="F131" s="399">
        <f t="shared" ca="1" si="17"/>
        <v>0</v>
      </c>
      <c r="G131" s="399" t="e">
        <f t="shared" ca="1" si="18"/>
        <v>#VALUE!</v>
      </c>
    </row>
    <row r="132" spans="1:7" ht="30" customHeight="1">
      <c r="A132" s="51">
        <f ca="1">INDIRECT("Datos!B"&amp;MATCH("RUBRO ITEM",Datos!B:B,0)+ROW()-MATCH("RUBRO ITEM",A:A,0)-1)</f>
        <v>0</v>
      </c>
      <c r="B132" s="396" t="str">
        <f t="shared" ca="1" si="13"/>
        <v/>
      </c>
      <c r="C132" s="156" t="str">
        <f t="shared" ca="1" si="14"/>
        <v/>
      </c>
      <c r="D132" s="397" t="str">
        <f t="shared" ca="1" si="15"/>
        <v/>
      </c>
      <c r="E132" s="398" t="str">
        <f t="shared" ca="1" si="16"/>
        <v/>
      </c>
      <c r="F132" s="399">
        <f t="shared" ca="1" si="17"/>
        <v>0</v>
      </c>
      <c r="G132" s="399" t="e">
        <f t="shared" ca="1" si="18"/>
        <v>#VALUE!</v>
      </c>
    </row>
    <row r="133" spans="1:7" ht="30" customHeight="1">
      <c r="A133" s="51">
        <f ca="1">INDIRECT("Datos!B"&amp;MATCH("RUBRO ITEM",Datos!B:B,0)+ROW()-MATCH("RUBRO ITEM",A:A,0)-1)</f>
        <v>0</v>
      </c>
      <c r="B133" s="396" t="str">
        <f t="shared" ca="1" si="13"/>
        <v/>
      </c>
      <c r="C133" s="156" t="str">
        <f t="shared" ca="1" si="14"/>
        <v/>
      </c>
      <c r="D133" s="397" t="str">
        <f t="shared" ca="1" si="15"/>
        <v/>
      </c>
      <c r="E133" s="398" t="str">
        <f t="shared" ca="1" si="16"/>
        <v/>
      </c>
      <c r="F133" s="399">
        <f t="shared" ca="1" si="17"/>
        <v>0</v>
      </c>
      <c r="G133" s="399" t="e">
        <f t="shared" ca="1" si="18"/>
        <v>#VALUE!</v>
      </c>
    </row>
    <row r="134" spans="1:7" ht="30" customHeight="1">
      <c r="A134" s="51">
        <f ca="1">INDIRECT("Datos!B"&amp;MATCH("RUBRO ITEM",Datos!B:B,0)+ROW()-MATCH("RUBRO ITEM",A:A,0)-1)</f>
        <v>0</v>
      </c>
      <c r="B134" s="396" t="str">
        <f t="shared" ca="1" si="13"/>
        <v/>
      </c>
      <c r="C134" s="156" t="str">
        <f t="shared" ca="1" si="14"/>
        <v/>
      </c>
      <c r="D134" s="397" t="str">
        <f t="shared" ca="1" si="15"/>
        <v/>
      </c>
      <c r="E134" s="398" t="str">
        <f t="shared" ca="1" si="16"/>
        <v/>
      </c>
      <c r="F134" s="399">
        <f t="shared" ca="1" si="17"/>
        <v>0</v>
      </c>
      <c r="G134" s="399" t="e">
        <f t="shared" ca="1" si="18"/>
        <v>#VALUE!</v>
      </c>
    </row>
    <row r="135" spans="1:7" ht="30" customHeight="1">
      <c r="A135" s="51">
        <f ca="1">INDIRECT("Datos!B"&amp;MATCH("RUBRO ITEM",Datos!B:B,0)+ROW()-MATCH("RUBRO ITEM",A:A,0)-1)</f>
        <v>0</v>
      </c>
      <c r="B135" s="396" t="str">
        <f t="shared" ca="1" si="13"/>
        <v/>
      </c>
      <c r="C135" s="156" t="str">
        <f t="shared" ca="1" si="14"/>
        <v/>
      </c>
      <c r="D135" s="397" t="str">
        <f t="shared" ca="1" si="15"/>
        <v/>
      </c>
      <c r="E135" s="398" t="str">
        <f t="shared" ca="1" si="16"/>
        <v/>
      </c>
      <c r="F135" s="399">
        <f t="shared" ca="1" si="17"/>
        <v>0</v>
      </c>
      <c r="G135" s="399" t="e">
        <f t="shared" ca="1" si="18"/>
        <v>#VALUE!</v>
      </c>
    </row>
    <row r="136" spans="1:7" ht="30" customHeight="1">
      <c r="A136" s="51">
        <f ca="1">INDIRECT("Datos!B"&amp;MATCH("RUBRO ITEM",Datos!B:B,0)+ROW()-MATCH("RUBRO ITEM",A:A,0)-1)</f>
        <v>0</v>
      </c>
      <c r="B136" s="396" t="str">
        <f t="shared" ca="1" si="13"/>
        <v/>
      </c>
      <c r="C136" s="156" t="str">
        <f t="shared" ca="1" si="14"/>
        <v/>
      </c>
      <c r="D136" s="397" t="str">
        <f t="shared" ca="1" si="15"/>
        <v/>
      </c>
      <c r="E136" s="398" t="str">
        <f t="shared" ca="1" si="16"/>
        <v/>
      </c>
      <c r="F136" s="399">
        <f t="shared" ca="1" si="17"/>
        <v>0</v>
      </c>
      <c r="G136" s="399" t="e">
        <f t="shared" ca="1" si="18"/>
        <v>#VALUE!</v>
      </c>
    </row>
    <row r="137" spans="1:7" ht="30" customHeight="1">
      <c r="A137" s="51">
        <f ca="1">INDIRECT("Datos!B"&amp;MATCH("RUBRO ITEM",Datos!B:B,0)+ROW()-MATCH("RUBRO ITEM",A:A,0)-1)</f>
        <v>0</v>
      </c>
      <c r="B137" s="396" t="str">
        <f t="shared" ca="1" si="13"/>
        <v/>
      </c>
      <c r="C137" s="156" t="str">
        <f t="shared" ca="1" si="14"/>
        <v/>
      </c>
      <c r="D137" s="397" t="str">
        <f t="shared" ca="1" si="15"/>
        <v/>
      </c>
      <c r="E137" s="398" t="str">
        <f t="shared" ca="1" si="16"/>
        <v/>
      </c>
      <c r="F137" s="399">
        <f t="shared" ca="1" si="17"/>
        <v>0</v>
      </c>
      <c r="G137" s="399" t="e">
        <f t="shared" ca="1" si="18"/>
        <v>#VALUE!</v>
      </c>
    </row>
    <row r="138" spans="1:7" ht="30" customHeight="1">
      <c r="A138" s="51">
        <f ca="1">INDIRECT("Datos!B"&amp;MATCH("RUBRO ITEM",Datos!B:B,0)+ROW()-MATCH("RUBRO ITEM",A:A,0)-1)</f>
        <v>0</v>
      </c>
      <c r="B138" s="396" t="str">
        <f t="shared" ca="1" si="13"/>
        <v/>
      </c>
      <c r="C138" s="156" t="str">
        <f t="shared" ca="1" si="14"/>
        <v/>
      </c>
      <c r="D138" s="397" t="str">
        <f t="shared" ca="1" si="15"/>
        <v/>
      </c>
      <c r="E138" s="398" t="str">
        <f t="shared" ca="1" si="16"/>
        <v/>
      </c>
      <c r="F138" s="399">
        <f t="shared" ca="1" si="17"/>
        <v>0</v>
      </c>
      <c r="G138" s="399" t="e">
        <f t="shared" ca="1" si="18"/>
        <v>#VALUE!</v>
      </c>
    </row>
    <row r="139" spans="1:7" ht="30" customHeight="1">
      <c r="A139" s="51">
        <f ca="1">INDIRECT("Datos!B"&amp;MATCH("RUBRO ITEM",Datos!B:B,0)+ROW()-MATCH("RUBRO ITEM",A:A,0)-1)</f>
        <v>0</v>
      </c>
      <c r="B139" s="396" t="str">
        <f t="shared" ca="1" si="13"/>
        <v/>
      </c>
      <c r="C139" s="156" t="str">
        <f t="shared" ca="1" si="14"/>
        <v/>
      </c>
      <c r="D139" s="397" t="str">
        <f t="shared" ca="1" si="15"/>
        <v/>
      </c>
      <c r="E139" s="398" t="str">
        <f t="shared" ca="1" si="16"/>
        <v/>
      </c>
      <c r="F139" s="399">
        <f t="shared" ca="1" si="17"/>
        <v>0</v>
      </c>
      <c r="G139" s="399" t="e">
        <f t="shared" ca="1" si="18"/>
        <v>#VALUE!</v>
      </c>
    </row>
    <row r="140" spans="1:7" ht="30" customHeight="1">
      <c r="A140" s="51">
        <f ca="1">INDIRECT("Datos!B"&amp;MATCH("RUBRO ITEM",Datos!B:B,0)+ROW()-MATCH("RUBRO ITEM",A:A,0)-1)</f>
        <v>0</v>
      </c>
      <c r="B140" s="396" t="str">
        <f t="shared" ref="B140:B165" ca="1" si="19">IFERROR(VLOOKUP(A140,T_Computo_Presupuesto,2,FALSE),"")</f>
        <v/>
      </c>
      <c r="C140" s="156" t="str">
        <f t="shared" ref="C140:C165" ca="1" si="20">IFERROR(VLOOKUP(A140,T_Computo_Presupuesto,4,FALSE),"")</f>
        <v/>
      </c>
      <c r="D140" s="397" t="str">
        <f t="shared" ref="D140:D165" ca="1" si="21">IFERROR(VLOOKUP(A140,T_Computo_Presupuesto,5,FALSE),"")</f>
        <v/>
      </c>
      <c r="E140" s="398" t="str">
        <f t="shared" ca="1" si="16"/>
        <v/>
      </c>
      <c r="F140" s="399">
        <f t="shared" ca="1" si="17"/>
        <v>0</v>
      </c>
      <c r="G140" s="399" t="e">
        <f t="shared" ca="1" si="18"/>
        <v>#VALUE!</v>
      </c>
    </row>
    <row r="141" spans="1:7" ht="30" customHeight="1">
      <c r="A141" s="51">
        <f ca="1">INDIRECT("Datos!B"&amp;MATCH("RUBRO ITEM",Datos!B:B,0)+ROW()-MATCH("RUBRO ITEM",A:A,0)-1)</f>
        <v>0</v>
      </c>
      <c r="B141" s="396" t="str">
        <f t="shared" ca="1" si="19"/>
        <v/>
      </c>
      <c r="C141" s="156" t="str">
        <f t="shared" ca="1" si="20"/>
        <v/>
      </c>
      <c r="D141" s="397" t="str">
        <f t="shared" ca="1" si="21"/>
        <v/>
      </c>
      <c r="E141" s="398" t="str">
        <f t="shared" ca="1" si="16"/>
        <v/>
      </c>
      <c r="F141" s="399">
        <f t="shared" ca="1" si="17"/>
        <v>0</v>
      </c>
      <c r="G141" s="399" t="e">
        <f t="shared" ca="1" si="18"/>
        <v>#VALUE!</v>
      </c>
    </row>
    <row r="142" spans="1:7" ht="30" customHeight="1">
      <c r="A142" s="51">
        <f ca="1">INDIRECT("Datos!B"&amp;MATCH("RUBRO ITEM",Datos!B:B,0)+ROW()-MATCH("RUBRO ITEM",A:A,0)-1)</f>
        <v>0</v>
      </c>
      <c r="B142" s="396" t="str">
        <f t="shared" ca="1" si="19"/>
        <v/>
      </c>
      <c r="C142" s="156" t="str">
        <f t="shared" ca="1" si="20"/>
        <v/>
      </c>
      <c r="D142" s="397" t="str">
        <f t="shared" ca="1" si="21"/>
        <v/>
      </c>
      <c r="E142" s="398" t="str">
        <f t="shared" ca="1" si="16"/>
        <v/>
      </c>
      <c r="F142" s="399">
        <f t="shared" ca="1" si="17"/>
        <v>0</v>
      </c>
      <c r="G142" s="399" t="e">
        <f t="shared" ca="1" si="18"/>
        <v>#VALUE!</v>
      </c>
    </row>
    <row r="143" spans="1:7" ht="30" customHeight="1">
      <c r="A143" s="51">
        <f ca="1">INDIRECT("Datos!B"&amp;MATCH("RUBRO ITEM",Datos!B:B,0)+ROW()-MATCH("RUBRO ITEM",A:A,0)-1)</f>
        <v>0</v>
      </c>
      <c r="B143" s="396" t="str">
        <f t="shared" ca="1" si="19"/>
        <v/>
      </c>
      <c r="C143" s="156" t="str">
        <f t="shared" ca="1" si="20"/>
        <v/>
      </c>
      <c r="D143" s="397" t="str">
        <f t="shared" ca="1" si="21"/>
        <v/>
      </c>
      <c r="E143" s="398" t="str">
        <f t="shared" ca="1" si="16"/>
        <v/>
      </c>
      <c r="F143" s="399">
        <f t="shared" ca="1" si="17"/>
        <v>0</v>
      </c>
      <c r="G143" s="399" t="e">
        <f t="shared" ca="1" si="18"/>
        <v>#VALUE!</v>
      </c>
    </row>
    <row r="144" spans="1:7" ht="30" customHeight="1">
      <c r="A144" s="51">
        <f ca="1">INDIRECT("Datos!B"&amp;MATCH("RUBRO ITEM",Datos!B:B,0)+ROW()-MATCH("RUBRO ITEM",A:A,0)-1)</f>
        <v>0</v>
      </c>
      <c r="B144" s="396" t="str">
        <f t="shared" ca="1" si="19"/>
        <v/>
      </c>
      <c r="C144" s="156" t="str">
        <f t="shared" ca="1" si="20"/>
        <v/>
      </c>
      <c r="D144" s="397" t="str">
        <f t="shared" ca="1" si="21"/>
        <v/>
      </c>
      <c r="E144" s="398" t="str">
        <f t="shared" ca="1" si="16"/>
        <v/>
      </c>
      <c r="F144" s="399">
        <f t="shared" ca="1" si="17"/>
        <v>0</v>
      </c>
      <c r="G144" s="399" t="e">
        <f t="shared" ca="1" si="18"/>
        <v>#VALUE!</v>
      </c>
    </row>
    <row r="145" spans="1:7" ht="30" customHeight="1">
      <c r="A145" s="51">
        <f ca="1">INDIRECT("Datos!B"&amp;MATCH("RUBRO ITEM",Datos!B:B,0)+ROW()-MATCH("RUBRO ITEM",A:A,0)-1)</f>
        <v>0</v>
      </c>
      <c r="B145" s="396" t="str">
        <f t="shared" ca="1" si="19"/>
        <v/>
      </c>
      <c r="C145" s="156" t="str">
        <f t="shared" ca="1" si="20"/>
        <v/>
      </c>
      <c r="D145" s="397" t="str">
        <f t="shared" ca="1" si="21"/>
        <v/>
      </c>
      <c r="E145" s="398" t="str">
        <f t="shared" ca="1" si="16"/>
        <v/>
      </c>
      <c r="F145" s="399">
        <f t="shared" ca="1" si="17"/>
        <v>0</v>
      </c>
      <c r="G145" s="399" t="e">
        <f t="shared" ca="1" si="18"/>
        <v>#VALUE!</v>
      </c>
    </row>
    <row r="146" spans="1:7" ht="30" customHeight="1">
      <c r="A146" s="51">
        <f ca="1">INDIRECT("Datos!B"&amp;MATCH("RUBRO ITEM",Datos!B:B,0)+ROW()-MATCH("RUBRO ITEM",A:A,0)-1)</f>
        <v>0</v>
      </c>
      <c r="B146" s="396" t="str">
        <f t="shared" ca="1" si="19"/>
        <v/>
      </c>
      <c r="C146" s="156" t="str">
        <f t="shared" ca="1" si="20"/>
        <v/>
      </c>
      <c r="D146" s="397" t="str">
        <f t="shared" ca="1" si="21"/>
        <v/>
      </c>
      <c r="E146" s="398" t="str">
        <f t="shared" ref="E146:E165" ca="1" si="22">IF(F146=0,"",CONVERTIRNUM(F146))</f>
        <v/>
      </c>
      <c r="F146" s="399">
        <f t="shared" ref="F146:F165" ca="1" si="23">IFERROR(VLOOKUP(A146,T_Computo_Presupuesto,7,FALSE),0)</f>
        <v>0</v>
      </c>
      <c r="G146" s="399" t="e">
        <f t="shared" ref="G146:G165" ca="1" si="24">ROUND(D146*F146,2)</f>
        <v>#VALUE!</v>
      </c>
    </row>
    <row r="147" spans="1:7" ht="30" customHeight="1">
      <c r="A147" s="51">
        <f ca="1">INDIRECT("Datos!B"&amp;MATCH("RUBRO ITEM",Datos!B:B,0)+ROW()-MATCH("RUBRO ITEM",A:A,0)-1)</f>
        <v>0</v>
      </c>
      <c r="B147" s="396" t="str">
        <f t="shared" ca="1" si="19"/>
        <v/>
      </c>
      <c r="C147" s="156" t="str">
        <f t="shared" ca="1" si="20"/>
        <v/>
      </c>
      <c r="D147" s="397" t="str">
        <f t="shared" ca="1" si="21"/>
        <v/>
      </c>
      <c r="E147" s="398" t="str">
        <f t="shared" ca="1" si="22"/>
        <v/>
      </c>
      <c r="F147" s="399">
        <f t="shared" ca="1" si="23"/>
        <v>0</v>
      </c>
      <c r="G147" s="399" t="e">
        <f t="shared" ca="1" si="24"/>
        <v>#VALUE!</v>
      </c>
    </row>
    <row r="148" spans="1:7" ht="30" customHeight="1">
      <c r="A148" s="51">
        <f ca="1">INDIRECT("Datos!B"&amp;MATCH("RUBRO ITEM",Datos!B:B,0)+ROW()-MATCH("RUBRO ITEM",A:A,0)-1)</f>
        <v>0</v>
      </c>
      <c r="B148" s="396" t="str">
        <f t="shared" ca="1" si="19"/>
        <v/>
      </c>
      <c r="C148" s="156" t="str">
        <f t="shared" ca="1" si="20"/>
        <v/>
      </c>
      <c r="D148" s="397" t="str">
        <f t="shared" ca="1" si="21"/>
        <v/>
      </c>
      <c r="E148" s="398" t="str">
        <f t="shared" ca="1" si="22"/>
        <v/>
      </c>
      <c r="F148" s="399">
        <f t="shared" ca="1" si="23"/>
        <v>0</v>
      </c>
      <c r="G148" s="399" t="e">
        <f t="shared" ca="1" si="24"/>
        <v>#VALUE!</v>
      </c>
    </row>
    <row r="149" spans="1:7" ht="30" customHeight="1">
      <c r="A149" s="51">
        <f ca="1">INDIRECT("Datos!B"&amp;MATCH("RUBRO ITEM",Datos!B:B,0)+ROW()-MATCH("RUBRO ITEM",A:A,0)-1)</f>
        <v>0</v>
      </c>
      <c r="B149" s="396" t="str">
        <f t="shared" ca="1" si="19"/>
        <v/>
      </c>
      <c r="C149" s="156" t="str">
        <f t="shared" ca="1" si="20"/>
        <v/>
      </c>
      <c r="D149" s="397" t="str">
        <f t="shared" ca="1" si="21"/>
        <v/>
      </c>
      <c r="E149" s="398" t="str">
        <f t="shared" ca="1" si="22"/>
        <v/>
      </c>
      <c r="F149" s="399">
        <f t="shared" ca="1" si="23"/>
        <v>0</v>
      </c>
      <c r="G149" s="399" t="e">
        <f t="shared" ca="1" si="24"/>
        <v>#VALUE!</v>
      </c>
    </row>
    <row r="150" spans="1:7" ht="30" customHeight="1">
      <c r="A150" s="51">
        <f ca="1">INDIRECT("Datos!B"&amp;MATCH("RUBRO ITEM",Datos!B:B,0)+ROW()-MATCH("RUBRO ITEM",A:A,0)-1)</f>
        <v>0</v>
      </c>
      <c r="B150" s="396" t="str">
        <f t="shared" ca="1" si="19"/>
        <v/>
      </c>
      <c r="C150" s="156" t="str">
        <f t="shared" ca="1" si="20"/>
        <v/>
      </c>
      <c r="D150" s="397" t="str">
        <f t="shared" ca="1" si="21"/>
        <v/>
      </c>
      <c r="E150" s="398" t="str">
        <f t="shared" ca="1" si="22"/>
        <v/>
      </c>
      <c r="F150" s="399">
        <f t="shared" ca="1" si="23"/>
        <v>0</v>
      </c>
      <c r="G150" s="399" t="e">
        <f t="shared" ca="1" si="24"/>
        <v>#VALUE!</v>
      </c>
    </row>
    <row r="151" spans="1:7" ht="30" customHeight="1">
      <c r="A151" s="51">
        <f ca="1">INDIRECT("Datos!B"&amp;MATCH("RUBRO ITEM",Datos!B:B,0)+ROW()-MATCH("RUBRO ITEM",A:A,0)-1)</f>
        <v>0</v>
      </c>
      <c r="B151" s="396" t="str">
        <f t="shared" ca="1" si="19"/>
        <v/>
      </c>
      <c r="C151" s="156" t="str">
        <f t="shared" ca="1" si="20"/>
        <v/>
      </c>
      <c r="D151" s="397" t="str">
        <f t="shared" ca="1" si="21"/>
        <v/>
      </c>
      <c r="E151" s="398" t="str">
        <f t="shared" ca="1" si="22"/>
        <v/>
      </c>
      <c r="F151" s="399">
        <f t="shared" ca="1" si="23"/>
        <v>0</v>
      </c>
      <c r="G151" s="399" t="e">
        <f t="shared" ca="1" si="24"/>
        <v>#VALUE!</v>
      </c>
    </row>
    <row r="152" spans="1:7" ht="30" customHeight="1">
      <c r="A152" s="51">
        <f ca="1">INDIRECT("Datos!B"&amp;MATCH("RUBRO ITEM",Datos!B:B,0)+ROW()-MATCH("RUBRO ITEM",A:A,0)-1)</f>
        <v>0</v>
      </c>
      <c r="B152" s="396" t="str">
        <f t="shared" ca="1" si="19"/>
        <v/>
      </c>
      <c r="C152" s="156" t="str">
        <f t="shared" ca="1" si="20"/>
        <v/>
      </c>
      <c r="D152" s="397" t="str">
        <f t="shared" ca="1" si="21"/>
        <v/>
      </c>
      <c r="E152" s="398" t="str">
        <f t="shared" ca="1" si="22"/>
        <v/>
      </c>
      <c r="F152" s="399">
        <f t="shared" ca="1" si="23"/>
        <v>0</v>
      </c>
      <c r="G152" s="399" t="e">
        <f t="shared" ca="1" si="24"/>
        <v>#VALUE!</v>
      </c>
    </row>
    <row r="153" spans="1:7" ht="30" customHeight="1">
      <c r="A153" s="51">
        <f ca="1">INDIRECT("Datos!B"&amp;MATCH("RUBRO ITEM",Datos!B:B,0)+ROW()-MATCH("RUBRO ITEM",A:A,0)-1)</f>
        <v>0</v>
      </c>
      <c r="B153" s="396" t="str">
        <f t="shared" ca="1" si="19"/>
        <v/>
      </c>
      <c r="C153" s="156" t="str">
        <f t="shared" ca="1" si="20"/>
        <v/>
      </c>
      <c r="D153" s="397" t="str">
        <f t="shared" ca="1" si="21"/>
        <v/>
      </c>
      <c r="E153" s="398" t="str">
        <f t="shared" ca="1" si="22"/>
        <v/>
      </c>
      <c r="F153" s="399">
        <f t="shared" ca="1" si="23"/>
        <v>0</v>
      </c>
      <c r="G153" s="399" t="e">
        <f t="shared" ca="1" si="24"/>
        <v>#VALUE!</v>
      </c>
    </row>
    <row r="154" spans="1:7" ht="30" customHeight="1">
      <c r="A154" s="51">
        <f ca="1">INDIRECT("Datos!B"&amp;MATCH("RUBRO ITEM",Datos!B:B,0)+ROW()-MATCH("RUBRO ITEM",A:A,0)-1)</f>
        <v>0</v>
      </c>
      <c r="B154" s="396" t="str">
        <f t="shared" ca="1" si="19"/>
        <v/>
      </c>
      <c r="C154" s="156" t="str">
        <f t="shared" ca="1" si="20"/>
        <v/>
      </c>
      <c r="D154" s="397" t="str">
        <f t="shared" ca="1" si="21"/>
        <v/>
      </c>
      <c r="E154" s="398" t="str">
        <f t="shared" ca="1" si="22"/>
        <v/>
      </c>
      <c r="F154" s="399">
        <f t="shared" ca="1" si="23"/>
        <v>0</v>
      </c>
      <c r="G154" s="399" t="e">
        <f t="shared" ca="1" si="24"/>
        <v>#VALUE!</v>
      </c>
    </row>
    <row r="155" spans="1:7" ht="30" customHeight="1">
      <c r="A155" s="51">
        <f ca="1">INDIRECT("Datos!B"&amp;MATCH("RUBRO ITEM",Datos!B:B,0)+ROW()-MATCH("RUBRO ITEM",A:A,0)-1)</f>
        <v>0</v>
      </c>
      <c r="B155" s="396" t="str">
        <f t="shared" ca="1" si="19"/>
        <v/>
      </c>
      <c r="C155" s="156" t="str">
        <f t="shared" ca="1" si="20"/>
        <v/>
      </c>
      <c r="D155" s="397" t="str">
        <f t="shared" ca="1" si="21"/>
        <v/>
      </c>
      <c r="E155" s="398" t="str">
        <f t="shared" ca="1" si="22"/>
        <v/>
      </c>
      <c r="F155" s="399">
        <f t="shared" ca="1" si="23"/>
        <v>0</v>
      </c>
      <c r="G155" s="399" t="e">
        <f t="shared" ca="1" si="24"/>
        <v>#VALUE!</v>
      </c>
    </row>
    <row r="156" spans="1:7" ht="30" customHeight="1">
      <c r="A156" s="51">
        <f ca="1">INDIRECT("Datos!B"&amp;MATCH("RUBRO ITEM",Datos!B:B,0)+ROW()-MATCH("RUBRO ITEM",A:A,0)-1)</f>
        <v>0</v>
      </c>
      <c r="B156" s="396" t="str">
        <f t="shared" ca="1" si="19"/>
        <v/>
      </c>
      <c r="C156" s="156" t="str">
        <f t="shared" ca="1" si="20"/>
        <v/>
      </c>
      <c r="D156" s="397" t="str">
        <f t="shared" ca="1" si="21"/>
        <v/>
      </c>
      <c r="E156" s="398" t="str">
        <f t="shared" ca="1" si="22"/>
        <v/>
      </c>
      <c r="F156" s="399">
        <f t="shared" ca="1" si="23"/>
        <v>0</v>
      </c>
      <c r="G156" s="399" t="e">
        <f t="shared" ca="1" si="24"/>
        <v>#VALUE!</v>
      </c>
    </row>
    <row r="157" spans="1:7" ht="30" customHeight="1">
      <c r="A157" s="51">
        <f ca="1">INDIRECT("Datos!B"&amp;MATCH("RUBRO ITEM",Datos!B:B,0)+ROW()-MATCH("RUBRO ITEM",A:A,0)-1)</f>
        <v>0</v>
      </c>
      <c r="B157" s="396" t="str">
        <f t="shared" ca="1" si="19"/>
        <v/>
      </c>
      <c r="C157" s="156" t="str">
        <f t="shared" ca="1" si="20"/>
        <v/>
      </c>
      <c r="D157" s="397" t="str">
        <f t="shared" ca="1" si="21"/>
        <v/>
      </c>
      <c r="E157" s="398" t="str">
        <f t="shared" ca="1" si="22"/>
        <v/>
      </c>
      <c r="F157" s="399">
        <f t="shared" ca="1" si="23"/>
        <v>0</v>
      </c>
      <c r="G157" s="399" t="e">
        <f t="shared" ca="1" si="24"/>
        <v>#VALUE!</v>
      </c>
    </row>
    <row r="158" spans="1:7" ht="30" customHeight="1">
      <c r="A158" s="51">
        <f ca="1">INDIRECT("Datos!B"&amp;MATCH("RUBRO ITEM",Datos!B:B,0)+ROW()-MATCH("RUBRO ITEM",A:A,0)-1)</f>
        <v>0</v>
      </c>
      <c r="B158" s="396" t="str">
        <f t="shared" ca="1" si="19"/>
        <v/>
      </c>
      <c r="C158" s="156" t="str">
        <f t="shared" ca="1" si="20"/>
        <v/>
      </c>
      <c r="D158" s="397" t="str">
        <f t="shared" ca="1" si="21"/>
        <v/>
      </c>
      <c r="E158" s="398" t="str">
        <f t="shared" ca="1" si="22"/>
        <v/>
      </c>
      <c r="F158" s="399">
        <f t="shared" ca="1" si="23"/>
        <v>0</v>
      </c>
      <c r="G158" s="399" t="e">
        <f t="shared" ca="1" si="24"/>
        <v>#VALUE!</v>
      </c>
    </row>
    <row r="159" spans="1:7" ht="30" customHeight="1">
      <c r="A159" s="51">
        <f ca="1">INDIRECT("Datos!B"&amp;MATCH("RUBRO ITEM",Datos!B:B,0)+ROW()-MATCH("RUBRO ITEM",A:A,0)-1)</f>
        <v>0</v>
      </c>
      <c r="B159" s="396" t="str">
        <f t="shared" ca="1" si="19"/>
        <v/>
      </c>
      <c r="C159" s="156" t="str">
        <f t="shared" ca="1" si="20"/>
        <v/>
      </c>
      <c r="D159" s="397" t="str">
        <f t="shared" ca="1" si="21"/>
        <v/>
      </c>
      <c r="E159" s="398" t="str">
        <f t="shared" ca="1" si="22"/>
        <v/>
      </c>
      <c r="F159" s="399">
        <f t="shared" ca="1" si="23"/>
        <v>0</v>
      </c>
      <c r="G159" s="399" t="e">
        <f t="shared" ca="1" si="24"/>
        <v>#VALUE!</v>
      </c>
    </row>
    <row r="160" spans="1:7" ht="30" customHeight="1">
      <c r="A160" s="51">
        <f ca="1">INDIRECT("Datos!B"&amp;MATCH("RUBRO ITEM",Datos!B:B,0)+ROW()-MATCH("RUBRO ITEM",A:A,0)-1)</f>
        <v>0</v>
      </c>
      <c r="B160" s="396" t="str">
        <f t="shared" ca="1" si="19"/>
        <v/>
      </c>
      <c r="C160" s="156" t="str">
        <f t="shared" ca="1" si="20"/>
        <v/>
      </c>
      <c r="D160" s="397" t="str">
        <f t="shared" ca="1" si="21"/>
        <v/>
      </c>
      <c r="E160" s="398" t="str">
        <f t="shared" ca="1" si="22"/>
        <v/>
      </c>
      <c r="F160" s="399">
        <f t="shared" ca="1" si="23"/>
        <v>0</v>
      </c>
      <c r="G160" s="399" t="e">
        <f t="shared" ca="1" si="24"/>
        <v>#VALUE!</v>
      </c>
    </row>
    <row r="161" spans="1:7" ht="30" customHeight="1">
      <c r="A161" s="51">
        <f ca="1">INDIRECT("Datos!B"&amp;MATCH("RUBRO ITEM",Datos!B:B,0)+ROW()-MATCH("RUBRO ITEM",A:A,0)-1)</f>
        <v>0</v>
      </c>
      <c r="B161" s="396" t="str">
        <f t="shared" ca="1" si="19"/>
        <v/>
      </c>
      <c r="C161" s="156" t="str">
        <f t="shared" ca="1" si="20"/>
        <v/>
      </c>
      <c r="D161" s="397" t="str">
        <f t="shared" ca="1" si="21"/>
        <v/>
      </c>
      <c r="E161" s="398" t="str">
        <f t="shared" ca="1" si="22"/>
        <v/>
      </c>
      <c r="F161" s="399">
        <f t="shared" ca="1" si="23"/>
        <v>0</v>
      </c>
      <c r="G161" s="399" t="e">
        <f t="shared" ca="1" si="24"/>
        <v>#VALUE!</v>
      </c>
    </row>
    <row r="162" spans="1:7" ht="30" customHeight="1">
      <c r="A162" s="51">
        <f ca="1">INDIRECT("Datos!B"&amp;MATCH("RUBRO ITEM",Datos!B:B,0)+ROW()-MATCH("RUBRO ITEM",A:A,0)-1)</f>
        <v>0</v>
      </c>
      <c r="B162" s="396" t="str">
        <f t="shared" ca="1" si="19"/>
        <v/>
      </c>
      <c r="C162" s="156" t="str">
        <f t="shared" ca="1" si="20"/>
        <v/>
      </c>
      <c r="D162" s="397" t="str">
        <f t="shared" ca="1" si="21"/>
        <v/>
      </c>
      <c r="E162" s="398" t="str">
        <f t="shared" ca="1" si="22"/>
        <v/>
      </c>
      <c r="F162" s="399">
        <f t="shared" ca="1" si="23"/>
        <v>0</v>
      </c>
      <c r="G162" s="399" t="e">
        <f t="shared" ca="1" si="24"/>
        <v>#VALUE!</v>
      </c>
    </row>
    <row r="163" spans="1:7" ht="30" customHeight="1">
      <c r="A163" s="51">
        <f ca="1">INDIRECT("Datos!B"&amp;MATCH("RUBRO ITEM",Datos!B:B,0)+ROW()-MATCH("RUBRO ITEM",A:A,0)-1)</f>
        <v>0</v>
      </c>
      <c r="B163" s="396" t="str">
        <f t="shared" ca="1" si="19"/>
        <v/>
      </c>
      <c r="C163" s="156" t="str">
        <f t="shared" ca="1" si="20"/>
        <v/>
      </c>
      <c r="D163" s="397" t="str">
        <f t="shared" ca="1" si="21"/>
        <v/>
      </c>
      <c r="E163" s="398" t="str">
        <f t="shared" ca="1" si="22"/>
        <v/>
      </c>
      <c r="F163" s="399">
        <f t="shared" ca="1" si="23"/>
        <v>0</v>
      </c>
      <c r="G163" s="399" t="e">
        <f t="shared" ca="1" si="24"/>
        <v>#VALUE!</v>
      </c>
    </row>
    <row r="164" spans="1:7" ht="30" customHeight="1">
      <c r="A164" s="51">
        <f ca="1">INDIRECT("Datos!B"&amp;MATCH("RUBRO ITEM",Datos!B:B,0)+ROW()-MATCH("RUBRO ITEM",A:A,0)-1)</f>
        <v>0</v>
      </c>
      <c r="B164" s="396" t="str">
        <f t="shared" ca="1" si="19"/>
        <v/>
      </c>
      <c r="C164" s="156" t="str">
        <f t="shared" ca="1" si="20"/>
        <v/>
      </c>
      <c r="D164" s="397" t="str">
        <f t="shared" ca="1" si="21"/>
        <v/>
      </c>
      <c r="E164" s="398" t="str">
        <f t="shared" ca="1" si="22"/>
        <v/>
      </c>
      <c r="F164" s="399">
        <f t="shared" ca="1" si="23"/>
        <v>0</v>
      </c>
      <c r="G164" s="399" t="e">
        <f t="shared" ca="1" si="24"/>
        <v>#VALUE!</v>
      </c>
    </row>
    <row r="165" spans="1:7" ht="30" customHeight="1">
      <c r="A165" s="51">
        <f ca="1">INDIRECT("Datos!B"&amp;MATCH("RUBRO ITEM",Datos!B:B,0)+ROW()-MATCH("RUBRO ITEM",A:A,0)-1)</f>
        <v>0</v>
      </c>
      <c r="B165" s="396" t="str">
        <f t="shared" ca="1" si="19"/>
        <v/>
      </c>
      <c r="C165" s="156" t="str">
        <f t="shared" ca="1" si="20"/>
        <v/>
      </c>
      <c r="D165" s="397" t="str">
        <f t="shared" ca="1" si="21"/>
        <v/>
      </c>
      <c r="E165" s="398" t="str">
        <f t="shared" ca="1" si="22"/>
        <v/>
      </c>
      <c r="F165" s="399">
        <f t="shared" ca="1" si="23"/>
        <v>0</v>
      </c>
      <c r="G165" s="399" t="e">
        <f t="shared" ca="1" si="24"/>
        <v>#VALUE!</v>
      </c>
    </row>
    <row r="166" spans="1:7" ht="19.5" customHeight="1">
      <c r="A166" s="404"/>
      <c r="B166" s="157"/>
      <c r="C166" s="158"/>
      <c r="D166" s="400"/>
      <c r="E166" s="401"/>
      <c r="F166" s="159"/>
      <c r="G166" s="405"/>
    </row>
    <row r="167" spans="1:7" ht="19.5" customHeight="1">
      <c r="A167" s="404"/>
      <c r="B167" s="670" t="s">
        <v>989</v>
      </c>
      <c r="C167" s="670"/>
      <c r="D167" s="670"/>
      <c r="E167" s="670"/>
      <c r="F167" s="406"/>
      <c r="G167" s="160" t="e">
        <f ca="1">ROUND(SUM(G16:G166),2)</f>
        <v>#VALUE!</v>
      </c>
    </row>
    <row r="168" spans="1:7" ht="19.5" customHeight="1">
      <c r="A168" s="161" t="s">
        <v>3</v>
      </c>
      <c r="F168" s="162"/>
    </row>
    <row r="169" spans="1:7" ht="37.5" customHeight="1">
      <c r="A169" s="673" t="str">
        <f ca="1">IF(Monto_Oferta=0,"IMPORTA LA PRESENTE PROPUESTA EN LA SUMA DE: _____________________","IMPORTA LA PRESENTE PROPUESTA EN LA SUMA DE: "&amp;CONVERTIRNUM(Monto_Oferta))</f>
        <v>IMPORTA LA PRESENTE PROPUESTA EN LA SUMA DE: _____________________</v>
      </c>
      <c r="B169" s="673"/>
      <c r="C169" s="673"/>
      <c r="D169" s="673"/>
      <c r="E169" s="673"/>
      <c r="F169" s="673"/>
      <c r="G169" s="673"/>
    </row>
    <row r="170" spans="1:7" ht="19.5" customHeight="1">
      <c r="A170" s="163"/>
    </row>
    <row r="171" spans="1:7" ht="19.5" customHeight="1">
      <c r="B171" s="671" t="s">
        <v>995</v>
      </c>
      <c r="C171" s="671"/>
      <c r="D171" s="671"/>
      <c r="E171" s="671"/>
      <c r="F171" s="671"/>
      <c r="G171" s="671"/>
    </row>
    <row r="172" spans="1:7" ht="19.5" customHeight="1">
      <c r="B172" s="671" t="s">
        <v>990</v>
      </c>
      <c r="C172" s="671"/>
      <c r="D172" s="671"/>
      <c r="E172" s="671"/>
      <c r="F172" s="671"/>
      <c r="G172" s="671"/>
    </row>
    <row r="173" spans="1:7" ht="19.5" customHeight="1">
      <c r="B173" s="432"/>
      <c r="C173" s="432"/>
      <c r="D173" s="432"/>
      <c r="E173" s="432"/>
      <c r="F173" s="432"/>
      <c r="G173" s="432"/>
    </row>
    <row r="174" spans="1:7" ht="19.5" customHeight="1">
      <c r="B174" s="432"/>
      <c r="C174" s="432"/>
      <c r="D174" s="432"/>
      <c r="E174" s="432"/>
      <c r="F174" s="432"/>
      <c r="G174" s="432"/>
    </row>
    <row r="175" spans="1:7" ht="19.5" customHeight="1">
      <c r="B175" s="402" t="str">
        <f>"ACLARACIÓN DE LAS FIRMAS SIN ABREVIATURAS:                                               "&amp;Contratista_Firma1&amp;"                                                               "&amp;Contratista_Firma2</f>
        <v xml:space="preserve">ACLARACIÓN DE LAS FIRMAS SIN ABREVIATURAS:                                                                                                              </v>
      </c>
      <c r="C175" s="402"/>
      <c r="D175" s="403"/>
      <c r="E175" s="402"/>
      <c r="F175" s="403"/>
      <c r="G175" s="402"/>
    </row>
    <row r="176" spans="1:7" ht="19.5" customHeight="1">
      <c r="D176" s="164">
        <v>0</v>
      </c>
      <c r="F176" s="164">
        <v>0</v>
      </c>
    </row>
    <row r="180" spans="1:1" ht="19.5" customHeight="1">
      <c r="A180" s="16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c r="A181" s="165" t="s">
        <v>994</v>
      </c>
    </row>
    <row r="182" spans="1:1" ht="19.5" customHeight="1">
      <c r="A182" s="165" t="s">
        <v>993</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166">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165">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T99"/>
  <sheetViews>
    <sheetView showGridLines="0" showZeros="0" view="pageBreakPreview" topLeftCell="A49" zoomScale="90" zoomScaleNormal="90" zoomScaleSheetLayoutView="90" workbookViewId="0">
      <selection activeCell="D82" sqref="D82:E84"/>
    </sheetView>
  </sheetViews>
  <sheetFormatPr baseColWidth="10" defaultColWidth="11.42578125" defaultRowHeight="12.75"/>
  <cols>
    <col min="1" max="1" width="8.7109375" style="107" customWidth="1"/>
    <col min="2" max="3" width="30.7109375" style="107" customWidth="1"/>
    <col min="4" max="4" width="6.7109375" style="107" customWidth="1"/>
    <col min="5" max="5" width="15.28515625" style="107" customWidth="1"/>
    <col min="6" max="7" width="17.7109375" style="107" customWidth="1"/>
    <col min="8" max="8" width="22.7109375" style="107" customWidth="1"/>
    <col min="9" max="9" width="14.7109375" style="107" customWidth="1"/>
    <col min="10" max="10" width="11.42578125" style="107"/>
    <col min="11" max="11" width="11.42578125" style="107" customWidth="1"/>
    <col min="12" max="19" width="11.42578125" style="107"/>
    <col min="20" max="20" width="18" style="107" customWidth="1"/>
    <col min="21" max="16384" width="11.42578125" style="107"/>
  </cols>
  <sheetData>
    <row r="1" spans="1:9" ht="20.100000000000001" customHeight="1">
      <c r="A1" s="106" t="s">
        <v>7</v>
      </c>
      <c r="B1" s="106"/>
      <c r="C1" s="106" t="str">
        <f>Comitente</f>
        <v>DEPARTAMENTO DE HIDRAULICA</v>
      </c>
      <c r="D1" s="106"/>
      <c r="E1" s="106"/>
      <c r="F1" s="106"/>
      <c r="G1" s="106"/>
      <c r="I1" s="108"/>
    </row>
    <row r="2" spans="1:9" s="78" customFormat="1" ht="20.100000000000001" customHeight="1">
      <c r="A2" s="109" t="s">
        <v>8</v>
      </c>
      <c r="B2" s="109"/>
      <c r="C2" s="106" t="str">
        <f>Obra</f>
        <v>MEJORA DE LA RED DE RIEGO DEL VALLE DE JÁCHAL</v>
      </c>
      <c r="D2" s="110"/>
      <c r="E2" s="110"/>
      <c r="F2" s="110"/>
      <c r="G2" s="110"/>
      <c r="I2" s="110"/>
    </row>
    <row r="3" spans="1:9" s="78" customFormat="1" ht="20.100000000000001" customHeight="1">
      <c r="A3" s="109" t="s">
        <v>12</v>
      </c>
      <c r="B3" s="109"/>
      <c r="C3" s="111" t="str">
        <f>Ubicación</f>
        <v>JACHAL</v>
      </c>
      <c r="D3" s="111"/>
      <c r="E3" s="111"/>
      <c r="F3" s="111"/>
      <c r="G3" s="111"/>
      <c r="I3" s="111"/>
    </row>
    <row r="4" spans="1:9" s="78" customFormat="1" ht="20.100000000000001" customHeight="1">
      <c r="A4" s="109" t="s">
        <v>11</v>
      </c>
      <c r="B4" s="112"/>
      <c r="C4" s="113">
        <f>Licitación_N°</f>
        <v>0</v>
      </c>
    </row>
    <row r="5" spans="1:9" s="78" customFormat="1" ht="20.100000000000001" customHeight="1">
      <c r="A5" s="109" t="s">
        <v>29</v>
      </c>
      <c r="B5" s="112"/>
      <c r="C5" s="114">
        <f>Expediente_N°</f>
        <v>0</v>
      </c>
    </row>
    <row r="6" spans="1:9" s="78" customFormat="1" ht="20.100000000000001" customHeight="1">
      <c r="A6" s="109" t="s">
        <v>14</v>
      </c>
      <c r="B6" s="112"/>
      <c r="C6" s="115">
        <f>P_Oficial</f>
        <v>252534063</v>
      </c>
    </row>
    <row r="7" spans="1:9" s="78" customFormat="1" ht="20.100000000000001" customHeight="1">
      <c r="A7" s="109" t="s">
        <v>892</v>
      </c>
      <c r="B7" s="112"/>
      <c r="C7" s="116">
        <f>Anticipo_Financiero</f>
        <v>0.05</v>
      </c>
      <c r="F7" s="78" t="e">
        <f ca="1">INDIRECT("Datos!"&amp;MATCH("RUBRO ITEM",Datos!C:C,0)+2)</f>
        <v>#N/A</v>
      </c>
    </row>
    <row r="8" spans="1:9" s="78" customFormat="1" ht="20.100000000000001" customHeight="1">
      <c r="A8" s="109" t="s">
        <v>891</v>
      </c>
      <c r="B8" s="112"/>
      <c r="C8" s="117" t="str">
        <f>Fecha_Base</f>
        <v>XX/07/2020</v>
      </c>
    </row>
    <row r="9" spans="1:9" s="78" customFormat="1" ht="20.100000000000001" customHeight="1">
      <c r="A9" s="109" t="s">
        <v>13</v>
      </c>
      <c r="B9" s="112"/>
      <c r="C9" s="118">
        <f>Plazo_Obra</f>
        <v>560</v>
      </c>
    </row>
    <row r="10" spans="1:9" s="78" customFormat="1" ht="20.100000000000001" customHeight="1">
      <c r="A10" s="109" t="s">
        <v>9</v>
      </c>
      <c r="B10" s="112"/>
      <c r="C10" s="109">
        <f>Contratista</f>
        <v>0</v>
      </c>
      <c r="F10" s="78" t="e">
        <f>MATCH("RUBRO ITEM",Datos!C:C,0)</f>
        <v>#N/A</v>
      </c>
    </row>
    <row r="11" spans="1:9" s="78" customFormat="1" ht="20.100000000000001" customHeight="1">
      <c r="A11" s="109" t="s">
        <v>40</v>
      </c>
      <c r="B11" s="112"/>
      <c r="C11" s="119">
        <f ca="1">Monto_Oferta</f>
        <v>0</v>
      </c>
    </row>
    <row r="12" spans="1:9" ht="20.100000000000001" customHeight="1"/>
    <row r="13" spans="1:9" ht="20.100000000000001" customHeight="1">
      <c r="A13" s="120" t="s">
        <v>39</v>
      </c>
      <c r="B13" s="121"/>
      <c r="C13" s="121"/>
      <c r="D13" s="121"/>
      <c r="E13" s="121"/>
      <c r="F13" s="121"/>
      <c r="G13" s="121"/>
      <c r="H13" s="122"/>
      <c r="I13" s="123"/>
    </row>
    <row r="14" spans="1:9" ht="20.100000000000001" customHeight="1"/>
    <row r="15" spans="1:9" ht="42.75" customHeight="1">
      <c r="A15" s="451" t="s">
        <v>893</v>
      </c>
      <c r="B15" s="674" t="s">
        <v>0</v>
      </c>
      <c r="C15" s="675"/>
      <c r="D15" s="451" t="s">
        <v>1</v>
      </c>
      <c r="E15" s="451" t="s">
        <v>2</v>
      </c>
      <c r="F15" s="449" t="s">
        <v>958</v>
      </c>
      <c r="G15" s="449" t="s">
        <v>959</v>
      </c>
      <c r="H15" s="449" t="s">
        <v>937</v>
      </c>
      <c r="I15" s="449" t="s">
        <v>10</v>
      </c>
    </row>
    <row r="16" spans="1:9" ht="20.100000000000001" customHeight="1">
      <c r="A16" s="65"/>
      <c r="B16" s="440"/>
      <c r="C16" s="440"/>
      <c r="D16" s="65"/>
      <c r="E16" s="65"/>
      <c r="F16" s="440"/>
      <c r="G16" s="440"/>
      <c r="H16" s="68"/>
      <c r="I16" s="124"/>
    </row>
    <row r="17" spans="1:20" ht="20.100000000000001" customHeight="1">
      <c r="A17" s="105">
        <f ca="1">INDIRECT("Datos!B"&amp;MATCH("RUBRO ITEM",Datos!B:B,0)+ROW()-MATCH("RUBRO ITEM",A:A,0))</f>
        <v>1</v>
      </c>
      <c r="B17" s="66" t="str">
        <f t="shared" ref="B17:B31" ca="1" si="0">IFERROR(VLOOKUP(A17,T_Datos,2,FALSE),"")</f>
        <v>PROYECTO EJECUTIVO</v>
      </c>
      <c r="C17" s="125"/>
      <c r="D17" s="126" t="str">
        <f t="shared" ref="D17:D31" ca="1" si="1">IFERROR(VLOOKUP(A17,T_Datos,3,FALSE),"")</f>
        <v>gl.</v>
      </c>
      <c r="E17" s="127">
        <f t="shared" ref="E17:E31" ca="1" si="2">IFERROR(VLOOKUP(A17,T_Datos,4,FALSE),0)</f>
        <v>1</v>
      </c>
      <c r="F17" s="128">
        <f t="shared" ref="F17" ca="1" si="3">IFERROR(VLOOKUP(A17,T_Analisis_Precios,7,FALSE),0)</f>
        <v>0</v>
      </c>
      <c r="G17" s="527"/>
      <c r="H17" s="527">
        <f ca="1">ROUND(E17*G17,2)</f>
        <v>0</v>
      </c>
      <c r="I17" s="129">
        <f t="shared" ref="I17" ca="1" si="4">IFERROR(H17/Monto_Oferta,0)</f>
        <v>0</v>
      </c>
    </row>
    <row r="18" spans="1:20" ht="20.100000000000001" customHeight="1">
      <c r="A18" s="105">
        <f ca="1">INDIRECT("Datos!B"&amp;MATCH("RUBRO ITEM",Datos!B:B,0)+ROW()-MATCH("RUBRO ITEM",A:A,0))</f>
        <v>2</v>
      </c>
      <c r="B18" s="66" t="str">
        <f t="shared" ca="1" si="0"/>
        <v>TAREAS GENERALES</v>
      </c>
      <c r="C18" s="125"/>
      <c r="D18" s="126">
        <f t="shared" ca="1" si="1"/>
        <v>0</v>
      </c>
      <c r="E18" s="127">
        <f t="shared" ca="1" si="2"/>
        <v>0</v>
      </c>
      <c r="F18" s="612">
        <f t="shared" ref="F18:F31" ca="1" si="5">IFERROR(VLOOKUP(A18,T_Analisis_Precios,7,FALSE),0)</f>
        <v>0</v>
      </c>
      <c r="G18" s="613">
        <f t="shared" ref="G18:G31" ca="1" si="6">ROUND(F18*Coeficiente_Paso,2)</f>
        <v>0</v>
      </c>
      <c r="H18" s="527">
        <f t="shared" ref="H18:H31" ca="1" si="7">ROUND(E18*G18,2)</f>
        <v>0</v>
      </c>
      <c r="I18" s="129">
        <f t="shared" ref="I18:I31" ca="1" si="8">IFERROR(H18/Monto_Oferta,0)</f>
        <v>0</v>
      </c>
      <c r="M18" s="639">
        <f ca="1">G18-K18</f>
        <v>0</v>
      </c>
      <c r="T18" s="642"/>
    </row>
    <row r="19" spans="1:20" ht="20.100000000000001" customHeight="1">
      <c r="A19" s="105" t="str">
        <f ca="1">INDIRECT("Datos!B"&amp;MATCH("RUBRO ITEM",Datos!B:B,0)+ROW()-MATCH("RUBRO ITEM",A:A,0))</f>
        <v>2.1</v>
      </c>
      <c r="B19" s="66" t="str">
        <f t="shared" ca="1" si="0"/>
        <v>Limpieza inicial y Relevamientos Topograficos</v>
      </c>
      <c r="C19" s="125"/>
      <c r="D19" s="126" t="str">
        <f t="shared" ca="1" si="1"/>
        <v>gl.</v>
      </c>
      <c r="E19" s="127">
        <f t="shared" ca="1" si="2"/>
        <v>1</v>
      </c>
      <c r="F19" s="612">
        <f t="shared" ca="1" si="5"/>
        <v>0</v>
      </c>
      <c r="G19" s="527">
        <f t="shared" ca="1" si="6"/>
        <v>0</v>
      </c>
      <c r="H19" s="527">
        <f t="shared" ca="1" si="7"/>
        <v>0</v>
      </c>
      <c r="I19" s="129">
        <f t="shared" ca="1" si="8"/>
        <v>0</v>
      </c>
      <c r="M19" s="639">
        <f t="shared" ref="M19:M49" ca="1" si="9">G19-K19</f>
        <v>0</v>
      </c>
      <c r="T19" s="642"/>
    </row>
    <row r="20" spans="1:20" ht="20.100000000000001" customHeight="1">
      <c r="A20" s="105" t="str">
        <f ca="1">INDIRECT("Datos!B"&amp;MATCH("RUBRO ITEM",Datos!B:B,0)+ROW()-MATCH("RUBRO ITEM",A:A,0))</f>
        <v>2.2</v>
      </c>
      <c r="B20" s="66" t="str">
        <f t="shared" ca="1" si="0"/>
        <v>Replanteo y Ajustes</v>
      </c>
      <c r="C20" s="125"/>
      <c r="D20" s="126" t="str">
        <f t="shared" ca="1" si="1"/>
        <v>gl.</v>
      </c>
      <c r="E20" s="127">
        <f t="shared" ca="1" si="2"/>
        <v>1</v>
      </c>
      <c r="F20" s="612">
        <f t="shared" ca="1" si="5"/>
        <v>0</v>
      </c>
      <c r="G20" s="527">
        <f t="shared" ca="1" si="6"/>
        <v>0</v>
      </c>
      <c r="H20" s="527">
        <f t="shared" ca="1" si="7"/>
        <v>0</v>
      </c>
      <c r="I20" s="129">
        <f t="shared" ca="1" si="8"/>
        <v>0</v>
      </c>
      <c r="M20" s="639">
        <f t="shared" ca="1" si="9"/>
        <v>0</v>
      </c>
      <c r="T20" s="642"/>
    </row>
    <row r="21" spans="1:20" ht="20.100000000000001" customHeight="1">
      <c r="A21" s="105">
        <f ca="1">INDIRECT("Datos!B"&amp;MATCH("RUBRO ITEM",Datos!B:B,0)+ROW()-MATCH("RUBRO ITEM",A:A,0))</f>
        <v>3</v>
      </c>
      <c r="B21" s="66" t="str">
        <f t="shared" ca="1" si="0"/>
        <v>AZUD PACHIMOCO</v>
      </c>
      <c r="C21" s="125"/>
      <c r="D21" s="126">
        <f t="shared" ca="1" si="1"/>
        <v>0</v>
      </c>
      <c r="E21" s="127">
        <f t="shared" ca="1" si="2"/>
        <v>0</v>
      </c>
      <c r="F21" s="612">
        <f t="shared" ca="1" si="5"/>
        <v>0</v>
      </c>
      <c r="G21" s="613">
        <f t="shared" ca="1" si="6"/>
        <v>0</v>
      </c>
      <c r="H21" s="527">
        <f t="shared" ca="1" si="7"/>
        <v>0</v>
      </c>
      <c r="I21" s="129">
        <f t="shared" ca="1" si="8"/>
        <v>0</v>
      </c>
      <c r="M21" s="639">
        <f t="shared" ca="1" si="9"/>
        <v>0</v>
      </c>
      <c r="T21" s="642"/>
    </row>
    <row r="22" spans="1:20" ht="20.100000000000001" customHeight="1">
      <c r="A22" s="105" t="str">
        <f ca="1">INDIRECT("Datos!B"&amp;MATCH("RUBRO ITEM",Datos!B:B,0)+ROW()-MATCH("RUBRO ITEM",A:A,0))</f>
        <v>3.1</v>
      </c>
      <c r="B22" s="66" t="str">
        <f t="shared" ca="1" si="0"/>
        <v>Compuertas Frontales</v>
      </c>
      <c r="C22" s="125"/>
      <c r="D22" s="126">
        <f t="shared" ca="1" si="1"/>
        <v>0</v>
      </c>
      <c r="E22" s="127">
        <f t="shared" ca="1" si="2"/>
        <v>0</v>
      </c>
      <c r="F22" s="612">
        <f t="shared" ca="1" si="5"/>
        <v>0</v>
      </c>
      <c r="G22" s="527">
        <f t="shared" ca="1" si="6"/>
        <v>0</v>
      </c>
      <c r="H22" s="527">
        <f t="shared" ca="1" si="7"/>
        <v>0</v>
      </c>
      <c r="I22" s="129">
        <f t="shared" ca="1" si="8"/>
        <v>0</v>
      </c>
      <c r="M22" s="639">
        <f t="shared" ca="1" si="9"/>
        <v>0</v>
      </c>
      <c r="T22" s="642"/>
    </row>
    <row r="23" spans="1:20" ht="20.100000000000001" customHeight="1">
      <c r="A23" s="105" t="str">
        <f ca="1">INDIRECT("Datos!B"&amp;MATCH("RUBRO ITEM",Datos!B:B,0)+ROW()-MATCH("RUBRO ITEM",A:A,0))</f>
        <v>3.1.1</v>
      </c>
      <c r="B23" s="66" t="str">
        <f t="shared" ca="1" si="0"/>
        <v>Reemplazo de compuertas frontales azud</v>
      </c>
      <c r="C23" s="125"/>
      <c r="D23" s="126" t="str">
        <f t="shared" ca="1" si="1"/>
        <v>gl.</v>
      </c>
      <c r="E23" s="127">
        <f t="shared" ca="1" si="2"/>
        <v>2</v>
      </c>
      <c r="F23" s="612">
        <f t="shared" ca="1" si="5"/>
        <v>0</v>
      </c>
      <c r="G23" s="527">
        <f t="shared" ca="1" si="6"/>
        <v>0</v>
      </c>
      <c r="H23" s="527">
        <f t="shared" ca="1" si="7"/>
        <v>0</v>
      </c>
      <c r="I23" s="129">
        <f t="shared" ca="1" si="8"/>
        <v>0</v>
      </c>
      <c r="M23" s="639">
        <f t="shared" ca="1" si="9"/>
        <v>0</v>
      </c>
      <c r="T23" s="642"/>
    </row>
    <row r="24" spans="1:20" ht="20.100000000000001" customHeight="1">
      <c r="A24" s="105" t="str">
        <f ca="1">INDIRECT("Datos!B"&amp;MATCH("RUBRO ITEM",Datos!B:B,0)+ROW()-MATCH("RUBRO ITEM",A:A,0))</f>
        <v>3.1.2</v>
      </c>
      <c r="B24" s="66" t="str">
        <f t="shared" ca="1" si="0"/>
        <v>Motorizacion/Electrificacion compuertas frontales azud</v>
      </c>
      <c r="C24" s="125"/>
      <c r="D24" s="126" t="str">
        <f t="shared" ca="1" si="1"/>
        <v>gl.</v>
      </c>
      <c r="E24" s="127">
        <f t="shared" ca="1" si="2"/>
        <v>1</v>
      </c>
      <c r="F24" s="612">
        <f t="shared" ca="1" si="5"/>
        <v>0</v>
      </c>
      <c r="G24" s="527">
        <f t="shared" ca="1" si="6"/>
        <v>0</v>
      </c>
      <c r="H24" s="527">
        <f t="shared" ca="1" si="7"/>
        <v>0</v>
      </c>
      <c r="I24" s="129">
        <f t="shared" ca="1" si="8"/>
        <v>0</v>
      </c>
      <c r="M24" s="639">
        <f t="shared" ca="1" si="9"/>
        <v>0</v>
      </c>
      <c r="T24" s="642"/>
    </row>
    <row r="25" spans="1:20" ht="20.100000000000001" customHeight="1">
      <c r="A25" s="105" t="str">
        <f ca="1">INDIRECT("Datos!B"&amp;MATCH("RUBRO ITEM",Datos!B:B,0)+ROW()-MATCH("RUBRO ITEM",A:A,0))</f>
        <v>3.1.3</v>
      </c>
      <c r="B25" s="66" t="str">
        <f t="shared" ca="1" si="0"/>
        <v>Grupo electrógeno 20kVA</v>
      </c>
      <c r="C25" s="125"/>
      <c r="D25" s="126" t="str">
        <f t="shared" ca="1" si="1"/>
        <v>gl.</v>
      </c>
      <c r="E25" s="127">
        <f t="shared" ca="1" si="2"/>
        <v>1</v>
      </c>
      <c r="F25" s="612">
        <f t="shared" ca="1" si="5"/>
        <v>0</v>
      </c>
      <c r="G25" s="613">
        <f t="shared" ca="1" si="6"/>
        <v>0</v>
      </c>
      <c r="H25" s="527">
        <f t="shared" ca="1" si="7"/>
        <v>0</v>
      </c>
      <c r="I25" s="129">
        <f t="shared" ca="1" si="8"/>
        <v>0</v>
      </c>
      <c r="M25" s="639">
        <f t="shared" ca="1" si="9"/>
        <v>0</v>
      </c>
      <c r="T25" s="642"/>
    </row>
    <row r="26" spans="1:20" ht="20.100000000000001" customHeight="1">
      <c r="A26" s="105" t="str">
        <f ca="1">INDIRECT("Datos!B"&amp;MATCH("RUBRO ITEM",Datos!B:B,0)+ROW()-MATCH("RUBRO ITEM",A:A,0))</f>
        <v>3.2</v>
      </c>
      <c r="B26" s="66" t="str">
        <f t="shared" ca="1" si="0"/>
        <v>Desripiador Margen Derecha</v>
      </c>
      <c r="C26" s="125"/>
      <c r="D26" s="126">
        <f t="shared" ca="1" si="1"/>
        <v>0</v>
      </c>
      <c r="E26" s="127">
        <f t="shared" ca="1" si="2"/>
        <v>0</v>
      </c>
      <c r="F26" s="612">
        <f t="shared" ca="1" si="5"/>
        <v>0</v>
      </c>
      <c r="G26" s="613">
        <f t="shared" ca="1" si="6"/>
        <v>0</v>
      </c>
      <c r="H26" s="527">
        <f t="shared" ca="1" si="7"/>
        <v>0</v>
      </c>
      <c r="I26" s="129">
        <f t="shared" ca="1" si="8"/>
        <v>0</v>
      </c>
      <c r="M26" s="639">
        <f t="shared" ca="1" si="9"/>
        <v>0</v>
      </c>
      <c r="T26" s="642"/>
    </row>
    <row r="27" spans="1:20" ht="20.100000000000001" customHeight="1">
      <c r="A27" s="105" t="str">
        <f ca="1">INDIRECT("Datos!B"&amp;MATCH("RUBRO ITEM",Datos!B:B,0)+ROW()-MATCH("RUBRO ITEM",A:A,0))</f>
        <v>3.2.1</v>
      </c>
      <c r="B27" s="66" t="str">
        <f t="shared" ca="1" si="0"/>
        <v>Reemplazo de compuertas desripiador</v>
      </c>
      <c r="C27" s="125"/>
      <c r="D27" s="126" t="str">
        <f t="shared" ca="1" si="1"/>
        <v>gl.</v>
      </c>
      <c r="E27" s="127">
        <f t="shared" ca="1" si="2"/>
        <v>2</v>
      </c>
      <c r="F27" s="612">
        <f t="shared" ca="1" si="5"/>
        <v>0</v>
      </c>
      <c r="G27" s="613">
        <f t="shared" ca="1" si="6"/>
        <v>0</v>
      </c>
      <c r="H27" s="527">
        <f t="shared" ca="1" si="7"/>
        <v>0</v>
      </c>
      <c r="I27" s="129">
        <f t="shared" ca="1" si="8"/>
        <v>0</v>
      </c>
      <c r="M27" s="639">
        <f t="shared" ca="1" si="9"/>
        <v>0</v>
      </c>
      <c r="T27" s="642"/>
    </row>
    <row r="28" spans="1:20" ht="20.100000000000001" customHeight="1">
      <c r="A28" s="105" t="str">
        <f ca="1">INDIRECT("Datos!B"&amp;MATCH("RUBRO ITEM",Datos!B:B,0)+ROW()-MATCH("RUBRO ITEM",A:A,0))</f>
        <v>3.3</v>
      </c>
      <c r="B28" s="66" t="str">
        <f t="shared" ca="1" si="0"/>
        <v>Obra de Toma</v>
      </c>
      <c r="C28" s="125"/>
      <c r="D28" s="126">
        <f t="shared" ca="1" si="1"/>
        <v>0</v>
      </c>
      <c r="E28" s="127">
        <f t="shared" ca="1" si="2"/>
        <v>0</v>
      </c>
      <c r="F28" s="612">
        <f t="shared" ca="1" si="5"/>
        <v>0</v>
      </c>
      <c r="G28" s="613">
        <f t="shared" ca="1" si="6"/>
        <v>0</v>
      </c>
      <c r="H28" s="527">
        <f t="shared" ca="1" si="7"/>
        <v>0</v>
      </c>
      <c r="I28" s="129">
        <f t="shared" ca="1" si="8"/>
        <v>0</v>
      </c>
      <c r="M28" s="639">
        <f t="shared" ca="1" si="9"/>
        <v>0</v>
      </c>
      <c r="T28" s="642"/>
    </row>
    <row r="29" spans="1:20" ht="20.100000000000001" customHeight="1">
      <c r="A29" s="105" t="str">
        <f ca="1">INDIRECT("Datos!B"&amp;MATCH("RUBRO ITEM",Datos!B:B,0)+ROW()-MATCH("RUBRO ITEM",A:A,0))</f>
        <v>3.3.1</v>
      </c>
      <c r="B29" s="66" t="str">
        <f t="shared" ca="1" si="0"/>
        <v>Reemplazo de compuertas obra de toma</v>
      </c>
      <c r="C29" s="125"/>
      <c r="D29" s="126" t="str">
        <f t="shared" ca="1" si="1"/>
        <v>gl.</v>
      </c>
      <c r="E29" s="127">
        <f t="shared" ca="1" si="2"/>
        <v>3</v>
      </c>
      <c r="F29" s="612">
        <f t="shared" ca="1" si="5"/>
        <v>0</v>
      </c>
      <c r="G29" s="613">
        <f t="shared" ca="1" si="6"/>
        <v>0</v>
      </c>
      <c r="H29" s="527">
        <f t="shared" ca="1" si="7"/>
        <v>0</v>
      </c>
      <c r="I29" s="129">
        <f t="shared" ca="1" si="8"/>
        <v>0</v>
      </c>
      <c r="M29" s="639">
        <f t="shared" ca="1" si="9"/>
        <v>0</v>
      </c>
      <c r="T29" s="642"/>
    </row>
    <row r="30" spans="1:20" ht="20.100000000000001" customHeight="1">
      <c r="A30" s="105" t="str">
        <f ca="1">INDIRECT("Datos!B"&amp;MATCH("RUBRO ITEM",Datos!B:B,0)+ROW()-MATCH("RUBRO ITEM",A:A,0))</f>
        <v>3.3.2</v>
      </c>
      <c r="B30" s="66" t="str">
        <f t="shared" ca="1" si="0"/>
        <v>Motorizacion/Electrificacion obra de toma</v>
      </c>
      <c r="C30" s="125"/>
      <c r="D30" s="126" t="str">
        <f t="shared" ca="1" si="1"/>
        <v>gl.</v>
      </c>
      <c r="E30" s="127">
        <f t="shared" ca="1" si="2"/>
        <v>3</v>
      </c>
      <c r="F30" s="612">
        <f t="shared" ca="1" si="5"/>
        <v>0</v>
      </c>
      <c r="G30" s="613">
        <f t="shared" ca="1" si="6"/>
        <v>0</v>
      </c>
      <c r="H30" s="527">
        <f t="shared" ca="1" si="7"/>
        <v>0</v>
      </c>
      <c r="I30" s="129">
        <f t="shared" ca="1" si="8"/>
        <v>0</v>
      </c>
      <c r="M30" s="639">
        <f t="shared" ca="1" si="9"/>
        <v>0</v>
      </c>
      <c r="T30" s="642"/>
    </row>
    <row r="31" spans="1:20" ht="20.100000000000001" customHeight="1">
      <c r="A31" s="105" t="str">
        <f ca="1">INDIRECT("Datos!B"&amp;MATCH("RUBRO ITEM",Datos!B:B,0)+ROW()-MATCH("RUBRO ITEM",A:A,0))</f>
        <v>3.4</v>
      </c>
      <c r="B31" s="66" t="str">
        <f t="shared" ca="1" si="0"/>
        <v>Obras Anexas</v>
      </c>
      <c r="C31" s="125"/>
      <c r="D31" s="126">
        <f t="shared" ca="1" si="1"/>
        <v>0</v>
      </c>
      <c r="E31" s="127">
        <f t="shared" ca="1" si="2"/>
        <v>0</v>
      </c>
      <c r="F31" s="612">
        <f t="shared" ca="1" si="5"/>
        <v>0</v>
      </c>
      <c r="G31" s="613">
        <f t="shared" ca="1" si="6"/>
        <v>0</v>
      </c>
      <c r="H31" s="527">
        <f t="shared" ca="1" si="7"/>
        <v>0</v>
      </c>
      <c r="I31" s="129">
        <f t="shared" ca="1" si="8"/>
        <v>0</v>
      </c>
      <c r="M31" s="639">
        <f t="shared" ca="1" si="9"/>
        <v>0</v>
      </c>
      <c r="T31" s="642"/>
    </row>
    <row r="32" spans="1:20" ht="20.100000000000001" customHeight="1">
      <c r="A32" s="105" t="str">
        <f ca="1">INDIRECT("Datos!B"&amp;MATCH("RUBRO ITEM",Datos!B:B,0)+ROW()-MATCH("RUBRO ITEM",A:A,0))</f>
        <v>3.4.1</v>
      </c>
      <c r="B32" s="66" t="str">
        <f t="shared" ref="B32:B49" ca="1" si="10">IFERROR(VLOOKUP(A32,T_Datos,2,FALSE),"")</f>
        <v>Reacondicionamiento pasarela</v>
      </c>
      <c r="C32" s="125"/>
      <c r="D32" s="126" t="str">
        <f t="shared" ref="D32:D49" ca="1" si="11">IFERROR(VLOOKUP(A32,T_Datos,3,FALSE),"")</f>
        <v>gl.</v>
      </c>
      <c r="E32" s="127">
        <f t="shared" ref="E32:E49" ca="1" si="12">IFERROR(VLOOKUP(A32,T_Datos,4,FALSE),0)</f>
        <v>1</v>
      </c>
      <c r="F32" s="612">
        <f t="shared" ref="F32:F49" ca="1" si="13">IFERROR(VLOOKUP(A32,T_Analisis_Precios,7,FALSE),0)</f>
        <v>0</v>
      </c>
      <c r="G32" s="613">
        <f t="shared" ref="G32:G47" ca="1" si="14">ROUND(F32*Coeficiente_Paso,2)</f>
        <v>0</v>
      </c>
      <c r="H32" s="527">
        <f t="shared" ref="H32:H47" ca="1" si="15">ROUND(E32*G32,2)</f>
        <v>0</v>
      </c>
      <c r="I32" s="129">
        <f t="shared" ref="I32:I49" ca="1" si="16">IFERROR(H32/Monto_Oferta,0)</f>
        <v>0</v>
      </c>
      <c r="M32" s="639">
        <f t="shared" ca="1" si="9"/>
        <v>0</v>
      </c>
      <c r="T32" s="642"/>
    </row>
    <row r="33" spans="1:20" ht="20.100000000000001" customHeight="1">
      <c r="A33" s="105" t="str">
        <f ca="1">INDIRECT("Datos!B"&amp;MATCH("RUBRO ITEM",Datos!B:B,0)+ROW()-MATCH("RUBRO ITEM",A:A,0))</f>
        <v>3.4.2</v>
      </c>
      <c r="B33" s="66" t="str">
        <f t="shared" ca="1" si="10"/>
        <v>Mantenimiento grupo electrogeno existente</v>
      </c>
      <c r="C33" s="125"/>
      <c r="D33" s="126" t="str">
        <f t="shared" ca="1" si="11"/>
        <v>gl.</v>
      </c>
      <c r="E33" s="127">
        <f t="shared" ca="1" si="12"/>
        <v>1</v>
      </c>
      <c r="F33" s="612">
        <f t="shared" ca="1" si="13"/>
        <v>0</v>
      </c>
      <c r="G33" s="613">
        <f t="shared" ca="1" si="14"/>
        <v>0</v>
      </c>
      <c r="H33" s="527">
        <f t="shared" ca="1" si="15"/>
        <v>0</v>
      </c>
      <c r="I33" s="129">
        <f t="shared" ca="1" si="16"/>
        <v>0</v>
      </c>
      <c r="M33" s="639">
        <f t="shared" ca="1" si="9"/>
        <v>0</v>
      </c>
      <c r="T33" s="642"/>
    </row>
    <row r="34" spans="1:20" ht="20.100000000000001" customHeight="1">
      <c r="A34" s="105" t="str">
        <f ca="1">INDIRECT("Datos!B"&amp;MATCH("RUBRO ITEM",Datos!B:B,0)+ROW()-MATCH("RUBRO ITEM",A:A,0))</f>
        <v>3.4.3</v>
      </c>
      <c r="B34" s="66" t="str">
        <f t="shared" ca="1" si="10"/>
        <v>Pararrayos</v>
      </c>
      <c r="C34" s="125"/>
      <c r="D34" s="126" t="str">
        <f t="shared" ca="1" si="11"/>
        <v>gl.</v>
      </c>
      <c r="E34" s="127">
        <f t="shared" ca="1" si="12"/>
        <v>1</v>
      </c>
      <c r="F34" s="612">
        <f t="shared" ca="1" si="13"/>
        <v>0</v>
      </c>
      <c r="G34" s="613">
        <f t="shared" ca="1" si="14"/>
        <v>0</v>
      </c>
      <c r="H34" s="527">
        <f t="shared" ca="1" si="15"/>
        <v>0</v>
      </c>
      <c r="I34" s="129">
        <f t="shared" ca="1" si="16"/>
        <v>0</v>
      </c>
      <c r="T34" s="642"/>
    </row>
    <row r="35" spans="1:20" ht="20.100000000000001" customHeight="1">
      <c r="A35" s="105" t="str">
        <f ca="1">INDIRECT("Datos!B"&amp;MATCH("RUBRO ITEM",Datos!B:B,0)+ROW()-MATCH("RUBRO ITEM",A:A,0))</f>
        <v>3.4.4</v>
      </c>
      <c r="B35" s="66" t="str">
        <f t="shared" ca="1" si="10"/>
        <v>Puesta a tierra</v>
      </c>
      <c r="C35" s="125"/>
      <c r="D35" s="126" t="str">
        <f t="shared" ca="1" si="11"/>
        <v>gl.</v>
      </c>
      <c r="E35" s="127">
        <f t="shared" ca="1" si="12"/>
        <v>1</v>
      </c>
      <c r="F35" s="612">
        <f t="shared" ca="1" si="13"/>
        <v>0</v>
      </c>
      <c r="G35" s="613">
        <f t="shared" ca="1" si="14"/>
        <v>0</v>
      </c>
      <c r="H35" s="527">
        <f t="shared" ca="1" si="15"/>
        <v>0</v>
      </c>
      <c r="I35" s="129">
        <f t="shared" ca="1" si="16"/>
        <v>0</v>
      </c>
      <c r="M35" s="639">
        <f t="shared" ca="1" si="9"/>
        <v>0</v>
      </c>
      <c r="T35" s="642"/>
    </row>
    <row r="36" spans="1:20" ht="20.100000000000001" customHeight="1">
      <c r="A36" s="105">
        <f ca="1">INDIRECT("Datos!B"&amp;MATCH("RUBRO ITEM",Datos!B:B,0)+ROW()-MATCH("RUBRO ITEM",A:A,0))</f>
        <v>4</v>
      </c>
      <c r="B36" s="66" t="str">
        <f t="shared" ca="1" si="10"/>
        <v>DESARENADOR</v>
      </c>
      <c r="C36" s="125"/>
      <c r="D36" s="126">
        <f t="shared" ca="1" si="11"/>
        <v>0</v>
      </c>
      <c r="E36" s="127">
        <f t="shared" ca="1" si="12"/>
        <v>0</v>
      </c>
      <c r="F36" s="612">
        <f t="shared" ca="1" si="13"/>
        <v>0</v>
      </c>
      <c r="G36" s="613">
        <f t="shared" ca="1" si="14"/>
        <v>0</v>
      </c>
      <c r="H36" s="527">
        <f t="shared" ca="1" si="15"/>
        <v>0</v>
      </c>
      <c r="I36" s="129">
        <f t="shared" ca="1" si="16"/>
        <v>0</v>
      </c>
      <c r="M36" s="639">
        <f t="shared" ca="1" si="9"/>
        <v>0</v>
      </c>
      <c r="T36" s="642"/>
    </row>
    <row r="37" spans="1:20" ht="20.100000000000001" customHeight="1">
      <c r="A37" s="105" t="str">
        <f ca="1">INDIRECT("Datos!B"&amp;MATCH("RUBRO ITEM",Datos!B:B,0)+ROW()-MATCH("RUBRO ITEM",A:A,0))</f>
        <v>4.1</v>
      </c>
      <c r="B37" s="66" t="str">
        <f t="shared" ca="1" si="10"/>
        <v>Rehabilitación compuerta de limpieza</v>
      </c>
      <c r="C37" s="125"/>
      <c r="D37" s="126">
        <f t="shared" ca="1" si="11"/>
        <v>0</v>
      </c>
      <c r="E37" s="127">
        <f t="shared" ca="1" si="12"/>
        <v>0</v>
      </c>
      <c r="F37" s="612">
        <f t="shared" ca="1" si="13"/>
        <v>0</v>
      </c>
      <c r="G37" s="613">
        <f t="shared" ca="1" si="14"/>
        <v>0</v>
      </c>
      <c r="H37" s="527">
        <f t="shared" ca="1" si="15"/>
        <v>0</v>
      </c>
      <c r="I37" s="129">
        <f t="shared" ca="1" si="16"/>
        <v>0</v>
      </c>
      <c r="M37" s="639">
        <f t="shared" ca="1" si="9"/>
        <v>0</v>
      </c>
      <c r="T37" s="642"/>
    </row>
    <row r="38" spans="1:20" ht="20.100000000000001" customHeight="1">
      <c r="A38" s="105" t="str">
        <f ca="1">INDIRECT("Datos!B"&amp;MATCH("RUBRO ITEM",Datos!B:B,0)+ROW()-MATCH("RUBRO ITEM",A:A,0))</f>
        <v>4.1.1</v>
      </c>
      <c r="B38" s="66" t="str">
        <f t="shared" ca="1" si="10"/>
        <v>Reemplazo de compuertas desarenador</v>
      </c>
      <c r="C38" s="125"/>
      <c r="D38" s="126" t="str">
        <f t="shared" ca="1" si="11"/>
        <v>gl.</v>
      </c>
      <c r="E38" s="127">
        <f t="shared" ca="1" si="12"/>
        <v>1</v>
      </c>
      <c r="F38" s="612">
        <f t="shared" ca="1" si="13"/>
        <v>0</v>
      </c>
      <c r="G38" s="613">
        <f t="shared" ca="1" si="14"/>
        <v>0</v>
      </c>
      <c r="H38" s="527">
        <f t="shared" ca="1" si="15"/>
        <v>0</v>
      </c>
      <c r="I38" s="129">
        <f t="shared" ca="1" si="16"/>
        <v>0</v>
      </c>
      <c r="T38" s="642"/>
    </row>
    <row r="39" spans="1:20" ht="20.100000000000001" customHeight="1">
      <c r="A39" s="105" t="str">
        <f ca="1">INDIRECT("Datos!B"&amp;MATCH("RUBRO ITEM",Datos!B:B,0)+ROW()-MATCH("RUBRO ITEM",A:A,0))</f>
        <v>4.1.2</v>
      </c>
      <c r="B39" s="66" t="str">
        <f t="shared" ca="1" si="10"/>
        <v>Motorizacion/Electrificacion desarenador</v>
      </c>
      <c r="C39" s="125"/>
      <c r="D39" s="126" t="str">
        <f t="shared" ca="1" si="11"/>
        <v>gl.</v>
      </c>
      <c r="E39" s="127">
        <f t="shared" ca="1" si="12"/>
        <v>1</v>
      </c>
      <c r="F39" s="612">
        <f t="shared" ca="1" si="13"/>
        <v>0</v>
      </c>
      <c r="G39" s="613">
        <f t="shared" ca="1" si="14"/>
        <v>0</v>
      </c>
      <c r="H39" s="527">
        <f t="shared" ca="1" si="15"/>
        <v>0</v>
      </c>
      <c r="I39" s="129">
        <f t="shared" ca="1" si="16"/>
        <v>0</v>
      </c>
      <c r="M39" s="639">
        <f t="shared" ca="1" si="9"/>
        <v>0</v>
      </c>
      <c r="T39" s="642"/>
    </row>
    <row r="40" spans="1:20" ht="20.100000000000001" customHeight="1">
      <c r="A40" s="105">
        <f ca="1">INDIRECT("Datos!B"&amp;MATCH("RUBRO ITEM",Datos!B:B,0)+ROW()-MATCH("RUBRO ITEM",A:A,0))</f>
        <v>5</v>
      </c>
      <c r="B40" s="66" t="str">
        <f t="shared" ca="1" si="10"/>
        <v>CANAL MATRIZ</v>
      </c>
      <c r="C40" s="125"/>
      <c r="D40" s="126">
        <f t="shared" ca="1" si="11"/>
        <v>0</v>
      </c>
      <c r="E40" s="127">
        <f t="shared" ca="1" si="12"/>
        <v>0</v>
      </c>
      <c r="F40" s="612">
        <f t="shared" ca="1" si="13"/>
        <v>0</v>
      </c>
      <c r="G40" s="613">
        <f t="shared" ca="1" si="14"/>
        <v>0</v>
      </c>
      <c r="H40" s="527">
        <f t="shared" ca="1" si="15"/>
        <v>0</v>
      </c>
      <c r="I40" s="129">
        <f t="shared" ca="1" si="16"/>
        <v>0</v>
      </c>
      <c r="M40" s="639">
        <f t="shared" ca="1" si="9"/>
        <v>0</v>
      </c>
      <c r="T40" s="642"/>
    </row>
    <row r="41" spans="1:20" ht="20.100000000000001" customHeight="1">
      <c r="A41" s="105" t="str">
        <f ca="1">INDIRECT("Datos!B"&amp;MATCH("RUBRO ITEM",Datos!B:B,0)+ROW()-MATCH("RUBRO ITEM",A:A,0))</f>
        <v>5.1</v>
      </c>
      <c r="B41" s="66" t="str">
        <f t="shared" ca="1" si="10"/>
        <v>Tramo Inicial - Encamisado total</v>
      </c>
      <c r="C41" s="125"/>
      <c r="D41" s="126">
        <f t="shared" ca="1" si="11"/>
        <v>0</v>
      </c>
      <c r="E41" s="127">
        <f t="shared" ca="1" si="12"/>
        <v>0</v>
      </c>
      <c r="F41" s="612">
        <f t="shared" ca="1" si="13"/>
        <v>0</v>
      </c>
      <c r="G41" s="613">
        <f t="shared" ca="1" si="14"/>
        <v>0</v>
      </c>
      <c r="H41" s="527">
        <f t="shared" ca="1" si="15"/>
        <v>0</v>
      </c>
      <c r="I41" s="129">
        <f t="shared" ca="1" si="16"/>
        <v>0</v>
      </c>
      <c r="M41" s="639">
        <f t="shared" ca="1" si="9"/>
        <v>0</v>
      </c>
      <c r="T41" s="642"/>
    </row>
    <row r="42" spans="1:20" ht="20.100000000000001" customHeight="1">
      <c r="A42" s="105" t="str">
        <f ca="1">INDIRECT("Datos!B"&amp;MATCH("RUBRO ITEM",Datos!B:B,0)+ROW()-MATCH("RUBRO ITEM",A:A,0))</f>
        <v>5.1.1</v>
      </c>
      <c r="B42" s="66" t="str">
        <f t="shared" ca="1" si="10"/>
        <v>Limpieza camino de servicio</v>
      </c>
      <c r="C42" s="125"/>
      <c r="D42" s="126" t="str">
        <f t="shared" ca="1" si="11"/>
        <v>m</v>
      </c>
      <c r="E42" s="127">
        <f t="shared" ca="1" si="12"/>
        <v>700</v>
      </c>
      <c r="F42" s="612">
        <f t="shared" ca="1" si="13"/>
        <v>0</v>
      </c>
      <c r="G42" s="613">
        <f t="shared" ca="1" si="14"/>
        <v>0</v>
      </c>
      <c r="H42" s="527">
        <f t="shared" ca="1" si="15"/>
        <v>0</v>
      </c>
      <c r="I42" s="129">
        <f t="shared" ca="1" si="16"/>
        <v>0</v>
      </c>
      <c r="M42" s="639">
        <f t="shared" ca="1" si="9"/>
        <v>0</v>
      </c>
      <c r="T42" s="642"/>
    </row>
    <row r="43" spans="1:20" ht="20.100000000000001" customHeight="1">
      <c r="A43" s="105" t="str">
        <f ca="1">INDIRECT("Datos!B"&amp;MATCH("RUBRO ITEM",Datos!B:B,0)+ROW()-MATCH("RUBRO ITEM",A:A,0))</f>
        <v>5.1.2</v>
      </c>
      <c r="B43" s="66" t="str">
        <f t="shared" ca="1" si="10"/>
        <v>Limpieza y preparación del terreno</v>
      </c>
      <c r="C43" s="125"/>
      <c r="D43" s="126" t="str">
        <f t="shared" ca="1" si="11"/>
        <v>m</v>
      </c>
      <c r="E43" s="127">
        <f t="shared" ca="1" si="12"/>
        <v>700</v>
      </c>
      <c r="F43" s="612">
        <f t="shared" ca="1" si="13"/>
        <v>0</v>
      </c>
      <c r="G43" s="613">
        <f t="shared" ca="1" si="14"/>
        <v>0</v>
      </c>
      <c r="H43" s="527">
        <f t="shared" ca="1" si="15"/>
        <v>0</v>
      </c>
      <c r="I43" s="129">
        <f t="shared" ca="1" si="16"/>
        <v>0</v>
      </c>
      <c r="M43" s="639">
        <f t="shared" ca="1" si="9"/>
        <v>0</v>
      </c>
      <c r="T43" s="642"/>
    </row>
    <row r="44" spans="1:20" ht="20.100000000000001" customHeight="1">
      <c r="A44" s="105" t="str">
        <f ca="1">INDIRECT("Datos!B"&amp;MATCH("RUBRO ITEM",Datos!B:B,0)+ROW()-MATCH("RUBRO ITEM",A:A,0))</f>
        <v>5.1.3</v>
      </c>
      <c r="B44" s="66" t="str">
        <f t="shared" ca="1" si="10"/>
        <v>Excavación</v>
      </c>
      <c r="C44" s="125"/>
      <c r="D44" s="126" t="str">
        <f t="shared" ca="1" si="11"/>
        <v>m3</v>
      </c>
      <c r="E44" s="127">
        <f t="shared" ca="1" si="12"/>
        <v>2938</v>
      </c>
      <c r="F44" s="612">
        <f t="shared" ca="1" si="13"/>
        <v>0</v>
      </c>
      <c r="G44" s="613">
        <f t="shared" ca="1" si="14"/>
        <v>0</v>
      </c>
      <c r="H44" s="527">
        <f t="shared" ca="1" si="15"/>
        <v>0</v>
      </c>
      <c r="I44" s="129">
        <f t="shared" ca="1" si="16"/>
        <v>0</v>
      </c>
      <c r="M44" s="639">
        <f t="shared" ca="1" si="9"/>
        <v>0</v>
      </c>
      <c r="T44" s="642"/>
    </row>
    <row r="45" spans="1:20" ht="20.100000000000001" customHeight="1">
      <c r="A45" s="105" t="str">
        <f ca="1">INDIRECT("Datos!B"&amp;MATCH("RUBRO ITEM",Datos!B:B,0)+ROW()-MATCH("RUBRO ITEM",A:A,0))</f>
        <v>5.1.4</v>
      </c>
      <c r="B45" s="66" t="str">
        <f t="shared" ca="1" si="10"/>
        <v>Relleno y compactación</v>
      </c>
      <c r="C45" s="125"/>
      <c r="D45" s="126" t="str">
        <f t="shared" ca="1" si="11"/>
        <v>m3</v>
      </c>
      <c r="E45" s="127">
        <f t="shared" ca="1" si="12"/>
        <v>1860</v>
      </c>
      <c r="F45" s="612">
        <f t="shared" ca="1" si="13"/>
        <v>0</v>
      </c>
      <c r="G45" s="613">
        <f t="shared" ca="1" si="14"/>
        <v>0</v>
      </c>
      <c r="H45" s="527">
        <f t="shared" ca="1" si="15"/>
        <v>0</v>
      </c>
      <c r="I45" s="129">
        <f t="shared" ca="1" si="16"/>
        <v>0</v>
      </c>
      <c r="M45" s="639">
        <f t="shared" ca="1" si="9"/>
        <v>0</v>
      </c>
      <c r="T45" s="642"/>
    </row>
    <row r="46" spans="1:20" ht="20.100000000000001" customHeight="1">
      <c r="A46" s="105" t="str">
        <f ca="1">INDIRECT("Datos!B"&amp;MATCH("RUBRO ITEM",Datos!B:B,0)+ROW()-MATCH("RUBRO ITEM",A:A,0))</f>
        <v>5.1.5</v>
      </c>
      <c r="B46" s="66" t="str">
        <f t="shared" ca="1" si="10"/>
        <v>Hormigón H20</v>
      </c>
      <c r="C46" s="125"/>
      <c r="D46" s="126" t="str">
        <f t="shared" ca="1" si="11"/>
        <v>m3</v>
      </c>
      <c r="E46" s="127">
        <f t="shared" ca="1" si="12"/>
        <v>983</v>
      </c>
      <c r="F46" s="612">
        <f t="shared" ca="1" si="13"/>
        <v>0</v>
      </c>
      <c r="G46" s="613">
        <f t="shared" ca="1" si="14"/>
        <v>0</v>
      </c>
      <c r="H46" s="527">
        <f t="shared" ca="1" si="15"/>
        <v>0</v>
      </c>
      <c r="I46" s="129">
        <f t="shared" ca="1" si="16"/>
        <v>0</v>
      </c>
      <c r="M46" s="639">
        <f t="shared" ca="1" si="9"/>
        <v>0</v>
      </c>
      <c r="T46" s="642"/>
    </row>
    <row r="47" spans="1:20" ht="20.100000000000001" customHeight="1">
      <c r="A47" s="105" t="str">
        <f ca="1">INDIRECT("Datos!B"&amp;MATCH("RUBRO ITEM",Datos!B:B,0)+ROW()-MATCH("RUBRO ITEM",A:A,0))</f>
        <v>5.1.6</v>
      </c>
      <c r="B47" s="66" t="str">
        <f t="shared" ca="1" si="10"/>
        <v>Malla de acero</v>
      </c>
      <c r="C47" s="125"/>
      <c r="D47" s="126" t="str">
        <f t="shared" ca="1" si="11"/>
        <v>kg</v>
      </c>
      <c r="E47" s="127">
        <f t="shared" ca="1" si="12"/>
        <v>42952</v>
      </c>
      <c r="F47" s="612">
        <f t="shared" ca="1" si="13"/>
        <v>0</v>
      </c>
      <c r="G47" s="527">
        <f t="shared" ca="1" si="14"/>
        <v>0</v>
      </c>
      <c r="H47" s="527">
        <f t="shared" ca="1" si="15"/>
        <v>0</v>
      </c>
      <c r="I47" s="129">
        <f t="shared" ca="1" si="16"/>
        <v>0</v>
      </c>
      <c r="M47" s="639">
        <f t="shared" ca="1" si="9"/>
        <v>0</v>
      </c>
      <c r="T47" s="642"/>
    </row>
    <row r="48" spans="1:20" ht="20.100000000000001" customHeight="1">
      <c r="A48" s="105" t="str">
        <f ca="1">INDIRECT("Datos!B"&amp;MATCH("RUBRO ITEM",Datos!B:B,0)+ROW()-MATCH("RUBRO ITEM",A:A,0))</f>
        <v>5.1.7</v>
      </c>
      <c r="B48" s="66" t="str">
        <f t="shared" ca="1" si="10"/>
        <v>Hormigón armado H20</v>
      </c>
      <c r="C48" s="125"/>
      <c r="D48" s="126" t="str">
        <f t="shared" ca="1" si="11"/>
        <v>m3</v>
      </c>
      <c r="E48" s="127">
        <f t="shared" ca="1" si="12"/>
        <v>106</v>
      </c>
      <c r="F48" s="612">
        <f t="shared" ca="1" si="13"/>
        <v>0</v>
      </c>
      <c r="G48" s="527">
        <f t="shared" ref="G48:G49" ca="1" si="17">ROUND(F48*Coeficiente_Paso,2)</f>
        <v>0</v>
      </c>
      <c r="H48" s="527">
        <f t="shared" ref="H48:H49" ca="1" si="18">ROUND(E48*G48,2)</f>
        <v>0</v>
      </c>
      <c r="I48" s="129">
        <f t="shared" ca="1" si="16"/>
        <v>0</v>
      </c>
      <c r="M48" s="639">
        <f t="shared" ca="1" si="9"/>
        <v>0</v>
      </c>
      <c r="T48" s="642"/>
    </row>
    <row r="49" spans="1:20" ht="20.100000000000001" customHeight="1">
      <c r="A49" s="105" t="str">
        <f ca="1">INDIRECT("Datos!B"&amp;MATCH("RUBRO ITEM",Datos!B:B,0)+ROW()-MATCH("RUBRO ITEM",A:A,0))</f>
        <v>5.2</v>
      </c>
      <c r="B49" s="66" t="str">
        <f t="shared" ca="1" si="10"/>
        <v>Tramo Final - Reconstruccion total</v>
      </c>
      <c r="C49" s="125"/>
      <c r="D49" s="126">
        <f t="shared" ca="1" si="11"/>
        <v>0</v>
      </c>
      <c r="E49" s="127">
        <f t="shared" ca="1" si="12"/>
        <v>0</v>
      </c>
      <c r="F49" s="612">
        <f t="shared" ca="1" si="13"/>
        <v>0</v>
      </c>
      <c r="G49" s="527">
        <f t="shared" ca="1" si="17"/>
        <v>0</v>
      </c>
      <c r="H49" s="527">
        <f t="shared" ca="1" si="18"/>
        <v>0</v>
      </c>
      <c r="I49" s="129">
        <f t="shared" ca="1" si="16"/>
        <v>0</v>
      </c>
      <c r="M49" s="639">
        <f t="shared" ca="1" si="9"/>
        <v>0</v>
      </c>
      <c r="T49" s="642"/>
    </row>
    <row r="50" spans="1:20" ht="20.100000000000001" customHeight="1">
      <c r="A50" s="651" t="str">
        <f ca="1">INDIRECT("Datos!B"&amp;MATCH("RUBRO ITEM",Datos!B:B,0)+ROW()-MATCH("RUBRO ITEM",A:A,0))</f>
        <v>5.2.1</v>
      </c>
      <c r="B50" s="66" t="str">
        <f t="shared" ref="B50:B83" ca="1" si="19">IFERROR(VLOOKUP(A50,T_Datos,2,FALSE),"")</f>
        <v>Rehabilitacion camino de servicio</v>
      </c>
      <c r="C50" s="125"/>
      <c r="D50" s="126" t="str">
        <f t="shared" ref="D50:D83" ca="1" si="20">IFERROR(VLOOKUP(A50,T_Datos,3,FALSE),"")</f>
        <v>m</v>
      </c>
      <c r="E50" s="127">
        <f t="shared" ref="E50:E83" ca="1" si="21">IFERROR(VLOOKUP(A50,T_Datos,4,FALSE),0)</f>
        <v>230</v>
      </c>
      <c r="F50" s="612">
        <f t="shared" ref="F50:F83" ca="1" si="22">IFERROR(VLOOKUP(A50,T_Analisis_Precios,7,FALSE),0)</f>
        <v>0</v>
      </c>
      <c r="G50" s="527">
        <f t="shared" ref="G50:G83" ca="1" si="23">ROUND(F50*Coeficiente_Paso,2)</f>
        <v>0</v>
      </c>
      <c r="H50" s="527">
        <f t="shared" ref="H50:H83" ca="1" si="24">ROUND(E50*G50,2)</f>
        <v>0</v>
      </c>
      <c r="I50" s="129">
        <f t="shared" ref="I50:I83" ca="1" si="25">IFERROR(H50/Monto_Oferta,0)</f>
        <v>0</v>
      </c>
      <c r="M50" s="639"/>
      <c r="T50" s="642"/>
    </row>
    <row r="51" spans="1:20" ht="20.100000000000001" customHeight="1">
      <c r="A51" s="105" t="str">
        <f ca="1">INDIRECT("Datos!B"&amp;MATCH("RUBRO ITEM",Datos!B:B,0)+ROW()-MATCH("RUBRO ITEM",A:A,0))</f>
        <v>5.2.2</v>
      </c>
      <c r="B51" s="66" t="str">
        <f t="shared" ca="1" si="19"/>
        <v>Limpieza y preparación del terreno</v>
      </c>
      <c r="C51" s="125"/>
      <c r="D51" s="126" t="str">
        <f t="shared" ca="1" si="20"/>
        <v>m</v>
      </c>
      <c r="E51" s="127">
        <f t="shared" ca="1" si="21"/>
        <v>230</v>
      </c>
      <c r="F51" s="612">
        <f t="shared" ca="1" si="22"/>
        <v>0</v>
      </c>
      <c r="G51" s="527">
        <f t="shared" ca="1" si="23"/>
        <v>0</v>
      </c>
      <c r="H51" s="527">
        <f t="shared" ca="1" si="24"/>
        <v>0</v>
      </c>
      <c r="I51" s="129">
        <f t="shared" ca="1" si="25"/>
        <v>0</v>
      </c>
    </row>
    <row r="52" spans="1:20" ht="20.100000000000001" customHeight="1">
      <c r="A52" s="651" t="str">
        <f ca="1">INDIRECT("Datos!B"&amp;MATCH("RUBRO ITEM",Datos!B:B,0)+ROW()-MATCH("RUBRO ITEM",A:A,0))</f>
        <v>5.2.3</v>
      </c>
      <c r="B52" s="66" t="str">
        <f t="shared" ca="1" si="19"/>
        <v>Demoliciones</v>
      </c>
      <c r="C52" s="125"/>
      <c r="D52" s="126" t="str">
        <f t="shared" ca="1" si="20"/>
        <v>m3</v>
      </c>
      <c r="E52" s="127">
        <f t="shared" ca="1" si="21"/>
        <v>450</v>
      </c>
      <c r="F52" s="612">
        <f t="shared" ca="1" si="22"/>
        <v>0</v>
      </c>
      <c r="G52" s="527">
        <f t="shared" ca="1" si="23"/>
        <v>0</v>
      </c>
      <c r="H52" s="527">
        <f t="shared" ca="1" si="24"/>
        <v>0</v>
      </c>
      <c r="I52" s="129">
        <f t="shared" ca="1" si="25"/>
        <v>0</v>
      </c>
    </row>
    <row r="53" spans="1:20" ht="20.100000000000001" customHeight="1">
      <c r="A53" s="651" t="str">
        <f ca="1">INDIRECT("Datos!B"&amp;MATCH("RUBRO ITEM",Datos!B:B,0)+ROW()-MATCH("RUBRO ITEM",A:A,0))</f>
        <v>5.2.4</v>
      </c>
      <c r="B53" s="66" t="str">
        <f t="shared" ca="1" si="19"/>
        <v>Excavacion</v>
      </c>
      <c r="C53" s="125"/>
      <c r="D53" s="126" t="str">
        <f t="shared" ca="1" si="20"/>
        <v>m3</v>
      </c>
      <c r="E53" s="127">
        <f t="shared" ca="1" si="21"/>
        <v>1469</v>
      </c>
      <c r="F53" s="612">
        <f t="shared" ca="1" si="22"/>
        <v>0</v>
      </c>
      <c r="G53" s="527">
        <f t="shared" ca="1" si="23"/>
        <v>0</v>
      </c>
      <c r="H53" s="527">
        <f t="shared" ca="1" si="24"/>
        <v>0</v>
      </c>
      <c r="I53" s="129">
        <f t="shared" ca="1" si="25"/>
        <v>0</v>
      </c>
    </row>
    <row r="54" spans="1:20" ht="20.100000000000001" customHeight="1">
      <c r="A54" s="651" t="str">
        <f ca="1">INDIRECT("Datos!B"&amp;MATCH("RUBRO ITEM",Datos!B:B,0)+ROW()-MATCH("RUBRO ITEM",A:A,0))</f>
        <v>5.2.5</v>
      </c>
      <c r="B54" s="66" t="str">
        <f t="shared" ca="1" si="19"/>
        <v>Relleno y compactación</v>
      </c>
      <c r="C54" s="125"/>
      <c r="D54" s="126" t="str">
        <f t="shared" ca="1" si="20"/>
        <v>m3</v>
      </c>
      <c r="E54" s="127">
        <f t="shared" ca="1" si="21"/>
        <v>1539</v>
      </c>
      <c r="F54" s="612">
        <f t="shared" ca="1" si="22"/>
        <v>0</v>
      </c>
      <c r="G54" s="527">
        <f t="shared" ca="1" si="23"/>
        <v>0</v>
      </c>
      <c r="H54" s="527">
        <f t="shared" ca="1" si="24"/>
        <v>0</v>
      </c>
      <c r="I54" s="129">
        <f t="shared" ca="1" si="25"/>
        <v>0</v>
      </c>
    </row>
    <row r="55" spans="1:20" ht="20.100000000000001" customHeight="1">
      <c r="A55" s="651" t="str">
        <f ca="1">INDIRECT("Datos!B"&amp;MATCH("RUBRO ITEM",Datos!B:B,0)+ROW()-MATCH("RUBRO ITEM",A:A,0))</f>
        <v>5.2.6</v>
      </c>
      <c r="B55" s="66" t="str">
        <f t="shared" ca="1" si="19"/>
        <v>Geotextil</v>
      </c>
      <c r="C55" s="125"/>
      <c r="D55" s="126" t="str">
        <f t="shared" ca="1" si="20"/>
        <v>m2</v>
      </c>
      <c r="E55" s="127">
        <f t="shared" ca="1" si="21"/>
        <v>2075</v>
      </c>
      <c r="F55" s="612">
        <f t="shared" ca="1" si="22"/>
        <v>0</v>
      </c>
      <c r="G55" s="527">
        <f t="shared" ca="1" si="23"/>
        <v>0</v>
      </c>
      <c r="H55" s="527">
        <f t="shared" ca="1" si="24"/>
        <v>0</v>
      </c>
      <c r="I55" s="129">
        <f t="shared" ca="1" si="25"/>
        <v>0</v>
      </c>
    </row>
    <row r="56" spans="1:20" ht="20.100000000000001" customHeight="1">
      <c r="A56" s="651" t="str">
        <f ca="1">INDIRECT("Datos!B"&amp;MATCH("RUBRO ITEM",Datos!B:B,0)+ROW()-MATCH("RUBRO ITEM",A:A,0))</f>
        <v>5.2.7</v>
      </c>
      <c r="B56" s="66" t="str">
        <f t="shared" ca="1" si="19"/>
        <v>Grava de asiento</v>
      </c>
      <c r="C56" s="125"/>
      <c r="D56" s="126" t="str">
        <f t="shared" ca="1" si="20"/>
        <v>m3</v>
      </c>
      <c r="E56" s="127">
        <f t="shared" ca="1" si="21"/>
        <v>329</v>
      </c>
      <c r="F56" s="612">
        <f t="shared" ca="1" si="22"/>
        <v>0</v>
      </c>
      <c r="G56" s="527">
        <f t="shared" ca="1" si="23"/>
        <v>0</v>
      </c>
      <c r="H56" s="527">
        <f t="shared" ca="1" si="24"/>
        <v>0</v>
      </c>
      <c r="I56" s="129">
        <f t="shared" ca="1" si="25"/>
        <v>0</v>
      </c>
    </row>
    <row r="57" spans="1:20" ht="20.100000000000001" customHeight="1">
      <c r="A57" s="651" t="str">
        <f ca="1">INDIRECT("Datos!B"&amp;MATCH("RUBRO ITEM",Datos!B:B,0)+ROW()-MATCH("RUBRO ITEM",A:A,0))</f>
        <v>5.2.8</v>
      </c>
      <c r="B57" s="66" t="str">
        <f t="shared" ca="1" si="19"/>
        <v>Hormigón de limpieza</v>
      </c>
      <c r="C57" s="125"/>
      <c r="D57" s="126" t="str">
        <f t="shared" ca="1" si="20"/>
        <v>m3</v>
      </c>
      <c r="E57" s="127">
        <f t="shared" ca="1" si="21"/>
        <v>81</v>
      </c>
      <c r="F57" s="612">
        <f t="shared" ca="1" si="22"/>
        <v>0</v>
      </c>
      <c r="G57" s="527">
        <f t="shared" ca="1" si="23"/>
        <v>0</v>
      </c>
      <c r="H57" s="527">
        <f t="shared" ca="1" si="24"/>
        <v>0</v>
      </c>
      <c r="I57" s="129">
        <f t="shared" ca="1" si="25"/>
        <v>0</v>
      </c>
    </row>
    <row r="58" spans="1:20" ht="20.100000000000001" customHeight="1">
      <c r="A58" s="651" t="str">
        <f ca="1">INDIRECT("Datos!B"&amp;MATCH("RUBRO ITEM",Datos!B:B,0)+ROW()-MATCH("RUBRO ITEM",A:A,0))</f>
        <v>5.2.9</v>
      </c>
      <c r="B58" s="66" t="str">
        <f t="shared" ca="1" si="19"/>
        <v>Hormigón armado H20</v>
      </c>
      <c r="C58" s="125"/>
      <c r="D58" s="126" t="str">
        <f t="shared" ca="1" si="20"/>
        <v>m3</v>
      </c>
      <c r="E58" s="127">
        <f t="shared" ca="1" si="21"/>
        <v>450</v>
      </c>
      <c r="F58" s="612">
        <f t="shared" ca="1" si="22"/>
        <v>0</v>
      </c>
      <c r="G58" s="527">
        <f t="shared" ca="1" si="23"/>
        <v>0</v>
      </c>
      <c r="H58" s="527">
        <f t="shared" ca="1" si="24"/>
        <v>0</v>
      </c>
      <c r="I58" s="129">
        <f t="shared" ca="1" si="25"/>
        <v>0</v>
      </c>
    </row>
    <row r="59" spans="1:20" ht="20.100000000000001" customHeight="1">
      <c r="A59" s="651" t="str">
        <f ca="1">INDIRECT("Datos!B"&amp;MATCH("RUBRO ITEM",Datos!B:B,0)+ROW()-MATCH("RUBRO ITEM",A:A,0))</f>
        <v>5.2.10</v>
      </c>
      <c r="B59" s="66" t="str">
        <f t="shared" ca="1" si="19"/>
        <v>Reemplazo de compuertas</v>
      </c>
      <c r="C59" s="125"/>
      <c r="D59" s="126" t="str">
        <f t="shared" ca="1" si="20"/>
        <v>unidad</v>
      </c>
      <c r="E59" s="127">
        <f t="shared" ca="1" si="21"/>
        <v>2</v>
      </c>
      <c r="F59" s="612">
        <f t="shared" ca="1" si="22"/>
        <v>0</v>
      </c>
      <c r="G59" s="527">
        <f t="shared" ca="1" si="23"/>
        <v>0</v>
      </c>
      <c r="H59" s="527">
        <f t="shared" ca="1" si="24"/>
        <v>0</v>
      </c>
      <c r="I59" s="129">
        <f t="shared" ca="1" si="25"/>
        <v>0</v>
      </c>
    </row>
    <row r="60" spans="1:20" ht="20.100000000000001" customHeight="1">
      <c r="A60" s="651" t="str">
        <f ca="1">INDIRECT("Datos!B"&amp;MATCH("RUBRO ITEM",Datos!B:B,0)+ROW()-MATCH("RUBRO ITEM",A:A,0))</f>
        <v>5.2.11</v>
      </c>
      <c r="B60" s="66" t="str">
        <f t="shared" ca="1" si="19"/>
        <v>Readecuacion comparto de derivacion</v>
      </c>
      <c r="C60" s="125"/>
      <c r="D60" s="126" t="str">
        <f t="shared" ca="1" si="20"/>
        <v>gl.</v>
      </c>
      <c r="E60" s="127">
        <f t="shared" ca="1" si="21"/>
        <v>1</v>
      </c>
      <c r="F60" s="612">
        <f t="shared" ca="1" si="22"/>
        <v>0</v>
      </c>
      <c r="G60" s="527">
        <f t="shared" ca="1" si="23"/>
        <v>0</v>
      </c>
      <c r="H60" s="527">
        <f t="shared" ca="1" si="24"/>
        <v>0</v>
      </c>
      <c r="I60" s="129">
        <f t="shared" ca="1" si="25"/>
        <v>0</v>
      </c>
    </row>
    <row r="61" spans="1:20" ht="20.100000000000001" customHeight="1">
      <c r="A61" s="651">
        <f ca="1">INDIRECT("Datos!B"&amp;MATCH("RUBRO ITEM",Datos!B:B,0)+ROW()-MATCH("RUBRO ITEM",A:A,0))</f>
        <v>6</v>
      </c>
      <c r="B61" s="66" t="str">
        <f t="shared" ca="1" si="19"/>
        <v>CANAL DEL NORTE</v>
      </c>
      <c r="C61" s="125"/>
      <c r="D61" s="126">
        <f t="shared" ca="1" si="20"/>
        <v>0</v>
      </c>
      <c r="E61" s="127">
        <f t="shared" ca="1" si="21"/>
        <v>0</v>
      </c>
      <c r="F61" s="612">
        <f t="shared" ca="1" si="22"/>
        <v>0</v>
      </c>
      <c r="G61" s="527">
        <f t="shared" ca="1" si="23"/>
        <v>0</v>
      </c>
      <c r="H61" s="527">
        <f t="shared" ca="1" si="24"/>
        <v>0</v>
      </c>
      <c r="I61" s="129">
        <f t="shared" ca="1" si="25"/>
        <v>0</v>
      </c>
    </row>
    <row r="62" spans="1:20" ht="20.100000000000001" customHeight="1">
      <c r="A62" s="651" t="str">
        <f ca="1">INDIRECT("Datos!B"&amp;MATCH("RUBRO ITEM",Datos!B:B,0)+ROW()-MATCH("RUBRO ITEM",A:A,0))</f>
        <v>6.1</v>
      </c>
      <c r="B62" s="66" t="str">
        <f t="shared" ca="1" si="19"/>
        <v>Encamisado Total</v>
      </c>
      <c r="C62" s="125"/>
      <c r="D62" s="126">
        <f t="shared" ca="1" si="20"/>
        <v>0</v>
      </c>
      <c r="E62" s="127">
        <f t="shared" ca="1" si="21"/>
        <v>0</v>
      </c>
      <c r="F62" s="612">
        <f t="shared" ca="1" si="22"/>
        <v>0</v>
      </c>
      <c r="G62" s="527">
        <f t="shared" ca="1" si="23"/>
        <v>0</v>
      </c>
      <c r="H62" s="527">
        <f t="shared" ca="1" si="24"/>
        <v>0</v>
      </c>
      <c r="I62" s="129">
        <f t="shared" ca="1" si="25"/>
        <v>0</v>
      </c>
    </row>
    <row r="63" spans="1:20" ht="20.100000000000001" customHeight="1">
      <c r="A63" s="651" t="str">
        <f ca="1">INDIRECT("Datos!B"&amp;MATCH("RUBRO ITEM",Datos!B:B,0)+ROW()-MATCH("RUBRO ITEM",A:A,0))</f>
        <v>6.1.1</v>
      </c>
      <c r="B63" s="66" t="str">
        <f t="shared" ca="1" si="19"/>
        <v>Rehabilitación camino de servicio</v>
      </c>
      <c r="C63" s="125"/>
      <c r="D63" s="126" t="str">
        <f t="shared" ca="1" si="20"/>
        <v>m</v>
      </c>
      <c r="E63" s="127">
        <f t="shared" ca="1" si="21"/>
        <v>5095</v>
      </c>
      <c r="F63" s="612">
        <f t="shared" ca="1" si="22"/>
        <v>0</v>
      </c>
      <c r="G63" s="527">
        <f t="shared" ca="1" si="23"/>
        <v>0</v>
      </c>
      <c r="H63" s="527">
        <f t="shared" ca="1" si="24"/>
        <v>0</v>
      </c>
      <c r="I63" s="129">
        <f t="shared" ca="1" si="25"/>
        <v>0</v>
      </c>
    </row>
    <row r="64" spans="1:20" ht="20.100000000000001" customHeight="1">
      <c r="A64" s="651" t="str">
        <f ca="1">INDIRECT("Datos!B"&amp;MATCH("RUBRO ITEM",Datos!B:B,0)+ROW()-MATCH("RUBRO ITEM",A:A,0))</f>
        <v>6.1.2</v>
      </c>
      <c r="B64" s="66" t="str">
        <f t="shared" ca="1" si="19"/>
        <v>Limpieza y preparación del terreno</v>
      </c>
      <c r="C64" s="125"/>
      <c r="D64" s="126" t="str">
        <f t="shared" ca="1" si="20"/>
        <v>m</v>
      </c>
      <c r="E64" s="127">
        <f t="shared" ca="1" si="21"/>
        <v>5095</v>
      </c>
      <c r="F64" s="612">
        <f t="shared" ca="1" si="22"/>
        <v>0</v>
      </c>
      <c r="G64" s="527">
        <f t="shared" ca="1" si="23"/>
        <v>0</v>
      </c>
      <c r="H64" s="527">
        <f t="shared" ca="1" si="24"/>
        <v>0</v>
      </c>
      <c r="I64" s="129">
        <f t="shared" ca="1" si="25"/>
        <v>0</v>
      </c>
    </row>
    <row r="65" spans="1:9" ht="20.100000000000001" customHeight="1">
      <c r="A65" s="651" t="str">
        <f ca="1">INDIRECT("Datos!B"&amp;MATCH("RUBRO ITEM",Datos!B:B,0)+ROW()-MATCH("RUBRO ITEM",A:A,0))</f>
        <v>6.1.3</v>
      </c>
      <c r="B65" s="66" t="str">
        <f t="shared" ca="1" si="19"/>
        <v>Excavación</v>
      </c>
      <c r="C65" s="125"/>
      <c r="D65" s="126" t="str">
        <f t="shared" ca="1" si="20"/>
        <v>m3</v>
      </c>
      <c r="E65" s="127">
        <f t="shared" ca="1" si="21"/>
        <v>1425</v>
      </c>
      <c r="F65" s="612">
        <f t="shared" ca="1" si="22"/>
        <v>0</v>
      </c>
      <c r="G65" s="527">
        <f t="shared" ca="1" si="23"/>
        <v>0</v>
      </c>
      <c r="H65" s="527">
        <f t="shared" ca="1" si="24"/>
        <v>0</v>
      </c>
      <c r="I65" s="129">
        <f t="shared" ca="1" si="25"/>
        <v>0</v>
      </c>
    </row>
    <row r="66" spans="1:9" ht="20.100000000000001" customHeight="1">
      <c r="A66" s="651" t="str">
        <f ca="1">INDIRECT("Datos!B"&amp;MATCH("RUBRO ITEM",Datos!B:B,0)+ROW()-MATCH("RUBRO ITEM",A:A,0))</f>
        <v>6.1.4</v>
      </c>
      <c r="B66" s="66" t="str">
        <f t="shared" ca="1" si="19"/>
        <v>Relleno y compactación</v>
      </c>
      <c r="C66" s="125"/>
      <c r="D66" s="126" t="str">
        <f t="shared" ca="1" si="20"/>
        <v>m3</v>
      </c>
      <c r="E66" s="127">
        <f t="shared" ca="1" si="21"/>
        <v>1492</v>
      </c>
      <c r="F66" s="612">
        <f t="shared" ca="1" si="22"/>
        <v>0</v>
      </c>
      <c r="G66" s="527">
        <f t="shared" ca="1" si="23"/>
        <v>0</v>
      </c>
      <c r="H66" s="527">
        <f t="shared" ca="1" si="24"/>
        <v>0</v>
      </c>
      <c r="I66" s="129">
        <f t="shared" ca="1" si="25"/>
        <v>0</v>
      </c>
    </row>
    <row r="67" spans="1:9" ht="20.100000000000001" customHeight="1">
      <c r="A67" s="651" t="str">
        <f ca="1">INDIRECT("Datos!B"&amp;MATCH("RUBRO ITEM",Datos!B:B,0)+ROW()-MATCH("RUBRO ITEM",A:A,0))</f>
        <v>6.1.5</v>
      </c>
      <c r="B67" s="66" t="str">
        <f t="shared" ca="1" si="19"/>
        <v>Hormigon H20</v>
      </c>
      <c r="C67" s="125"/>
      <c r="D67" s="126" t="str">
        <f t="shared" ca="1" si="20"/>
        <v>m3</v>
      </c>
      <c r="E67" s="127">
        <f t="shared" ca="1" si="21"/>
        <v>3545</v>
      </c>
      <c r="F67" s="612">
        <f t="shared" ca="1" si="22"/>
        <v>0</v>
      </c>
      <c r="G67" s="527">
        <f t="shared" ca="1" si="23"/>
        <v>0</v>
      </c>
      <c r="H67" s="527">
        <f t="shared" ca="1" si="24"/>
        <v>0</v>
      </c>
      <c r="I67" s="129">
        <f t="shared" ca="1" si="25"/>
        <v>0</v>
      </c>
    </row>
    <row r="68" spans="1:9" ht="20.100000000000001" customHeight="1">
      <c r="A68" s="651" t="str">
        <f ca="1">INDIRECT("Datos!B"&amp;MATCH("RUBRO ITEM",Datos!B:B,0)+ROW()-MATCH("RUBRO ITEM",A:A,0))</f>
        <v>6.1.6</v>
      </c>
      <c r="B68" s="66" t="str">
        <f t="shared" ca="1" si="19"/>
        <v>Malla de acero</v>
      </c>
      <c r="C68" s="125"/>
      <c r="D68" s="126" t="str">
        <f t="shared" ca="1" si="20"/>
        <v>kg</v>
      </c>
      <c r="E68" s="127">
        <f t="shared" ca="1" si="21"/>
        <v>113044</v>
      </c>
      <c r="F68" s="612">
        <f t="shared" ca="1" si="22"/>
        <v>0</v>
      </c>
      <c r="G68" s="527">
        <f t="shared" ca="1" si="23"/>
        <v>0</v>
      </c>
      <c r="H68" s="527">
        <f t="shared" ca="1" si="24"/>
        <v>0</v>
      </c>
      <c r="I68" s="129">
        <f t="shared" ca="1" si="25"/>
        <v>0</v>
      </c>
    </row>
    <row r="69" spans="1:9" ht="20.100000000000001" customHeight="1">
      <c r="A69" s="651" t="str">
        <f ca="1">INDIRECT("Datos!B"&amp;MATCH("RUBRO ITEM",Datos!B:B,0)+ROW()-MATCH("RUBRO ITEM",A:A,0))</f>
        <v>6.2</v>
      </c>
      <c r="B69" s="66" t="str">
        <f t="shared" ca="1" si="19"/>
        <v>Obras de cruce aluvional</v>
      </c>
      <c r="C69" s="125"/>
      <c r="D69" s="126">
        <f t="shared" ca="1" si="20"/>
        <v>0</v>
      </c>
      <c r="E69" s="127">
        <f t="shared" ca="1" si="21"/>
        <v>0</v>
      </c>
      <c r="F69" s="612">
        <f t="shared" ca="1" si="22"/>
        <v>0</v>
      </c>
      <c r="G69" s="527">
        <f t="shared" ca="1" si="23"/>
        <v>0</v>
      </c>
      <c r="H69" s="527">
        <f t="shared" ca="1" si="24"/>
        <v>0</v>
      </c>
      <c r="I69" s="129">
        <f t="shared" ca="1" si="25"/>
        <v>0</v>
      </c>
    </row>
    <row r="70" spans="1:9" ht="20.100000000000001" customHeight="1">
      <c r="A70" s="651" t="str">
        <f ca="1">INDIRECT("Datos!B"&amp;MATCH("RUBRO ITEM",Datos!B:B,0)+ROW()-MATCH("RUBRO ITEM",A:A,0))</f>
        <v>6.2.1</v>
      </c>
      <c r="B70" s="66" t="str">
        <f t="shared" ca="1" si="19"/>
        <v>Limpieza y preparación del terreno</v>
      </c>
      <c r="C70" s="125"/>
      <c r="D70" s="126" t="str">
        <f t="shared" ca="1" si="20"/>
        <v>m</v>
      </c>
      <c r="E70" s="127">
        <f t="shared" ca="1" si="21"/>
        <v>200</v>
      </c>
      <c r="F70" s="612">
        <f t="shared" ca="1" si="22"/>
        <v>0</v>
      </c>
      <c r="G70" s="527">
        <f t="shared" ca="1" si="23"/>
        <v>0</v>
      </c>
      <c r="H70" s="527">
        <f t="shared" ca="1" si="24"/>
        <v>0</v>
      </c>
      <c r="I70" s="129">
        <f t="shared" ca="1" si="25"/>
        <v>0</v>
      </c>
    </row>
    <row r="71" spans="1:9" ht="20.100000000000001" customHeight="1">
      <c r="A71" s="651" t="str">
        <f ca="1">INDIRECT("Datos!B"&amp;MATCH("RUBRO ITEM",Datos!B:B,0)+ROW()-MATCH("RUBRO ITEM",A:A,0))</f>
        <v>6.2.2</v>
      </c>
      <c r="B71" s="66" t="str">
        <f t="shared" ca="1" si="19"/>
        <v>Excavación</v>
      </c>
      <c r="C71" s="125"/>
      <c r="D71" s="126" t="str">
        <f t="shared" ca="1" si="20"/>
        <v>m3</v>
      </c>
      <c r="E71" s="127">
        <f t="shared" ca="1" si="21"/>
        <v>544</v>
      </c>
      <c r="F71" s="612">
        <f t="shared" ca="1" si="22"/>
        <v>0</v>
      </c>
      <c r="G71" s="527">
        <f t="shared" ca="1" si="23"/>
        <v>0</v>
      </c>
      <c r="H71" s="527">
        <f t="shared" ca="1" si="24"/>
        <v>0</v>
      </c>
      <c r="I71" s="129">
        <f t="shared" ca="1" si="25"/>
        <v>0</v>
      </c>
    </row>
    <row r="72" spans="1:9" ht="20.100000000000001" customHeight="1">
      <c r="A72" s="651" t="str">
        <f ca="1">INDIRECT("Datos!B"&amp;MATCH("RUBRO ITEM",Datos!B:B,0)+ROW()-MATCH("RUBRO ITEM",A:A,0))</f>
        <v>6.2.3</v>
      </c>
      <c r="B72" s="66" t="str">
        <f t="shared" ca="1" si="19"/>
        <v>Demoliciones</v>
      </c>
      <c r="C72" s="125"/>
      <c r="D72" s="126" t="str">
        <f t="shared" ca="1" si="20"/>
        <v>m3</v>
      </c>
      <c r="E72" s="127">
        <f t="shared" ca="1" si="21"/>
        <v>263</v>
      </c>
      <c r="F72" s="612">
        <f t="shared" ca="1" si="22"/>
        <v>0</v>
      </c>
      <c r="G72" s="527">
        <f t="shared" ca="1" si="23"/>
        <v>0</v>
      </c>
      <c r="H72" s="527">
        <f t="shared" ca="1" si="24"/>
        <v>0</v>
      </c>
      <c r="I72" s="129">
        <f t="shared" ca="1" si="25"/>
        <v>0</v>
      </c>
    </row>
    <row r="73" spans="1:9" ht="20.100000000000001" customHeight="1">
      <c r="A73" s="651" t="str">
        <f ca="1">INDIRECT("Datos!B"&amp;MATCH("RUBRO ITEM",Datos!B:B,0)+ROW()-MATCH("RUBRO ITEM",A:A,0))</f>
        <v>6.2.4</v>
      </c>
      <c r="B73" s="66" t="str">
        <f t="shared" ca="1" si="19"/>
        <v>Hormigon de limpleza</v>
      </c>
      <c r="C73" s="125"/>
      <c r="D73" s="126" t="str">
        <f t="shared" ca="1" si="20"/>
        <v>m3</v>
      </c>
      <c r="E73" s="127">
        <f t="shared" ca="1" si="21"/>
        <v>18</v>
      </c>
      <c r="F73" s="612">
        <f t="shared" ca="1" si="22"/>
        <v>0</v>
      </c>
      <c r="G73" s="527">
        <f t="shared" ca="1" si="23"/>
        <v>0</v>
      </c>
      <c r="H73" s="527">
        <f t="shared" ca="1" si="24"/>
        <v>0</v>
      </c>
      <c r="I73" s="129">
        <f t="shared" ca="1" si="25"/>
        <v>0</v>
      </c>
    </row>
    <row r="74" spans="1:9" ht="20.100000000000001" customHeight="1">
      <c r="A74" s="651" t="str">
        <f ca="1">INDIRECT("Datos!B"&amp;MATCH("RUBRO ITEM",Datos!B:B,0)+ROW()-MATCH("RUBRO ITEM",A:A,0))</f>
        <v>6.2.5</v>
      </c>
      <c r="B74" s="66" t="str">
        <f t="shared" ca="1" si="19"/>
        <v>Hormigon H20</v>
      </c>
      <c r="C74" s="125"/>
      <c r="D74" s="126" t="str">
        <f t="shared" ca="1" si="20"/>
        <v>m3</v>
      </c>
      <c r="E74" s="127">
        <f t="shared" ca="1" si="21"/>
        <v>799</v>
      </c>
      <c r="F74" s="612">
        <f t="shared" ca="1" si="22"/>
        <v>0</v>
      </c>
      <c r="G74" s="527">
        <f t="shared" ca="1" si="23"/>
        <v>0</v>
      </c>
      <c r="H74" s="527">
        <f t="shared" ca="1" si="24"/>
        <v>0</v>
      </c>
      <c r="I74" s="129">
        <f t="shared" ca="1" si="25"/>
        <v>0</v>
      </c>
    </row>
    <row r="75" spans="1:9" ht="20.100000000000001" customHeight="1">
      <c r="A75" s="651" t="str">
        <f ca="1">INDIRECT("Datos!B"&amp;MATCH("RUBRO ITEM",Datos!B:B,0)+ROW()-MATCH("RUBRO ITEM",A:A,0))</f>
        <v>6.2.6</v>
      </c>
      <c r="B75" s="66" t="str">
        <f t="shared" ca="1" si="19"/>
        <v>Malla de acero</v>
      </c>
      <c r="C75" s="125"/>
      <c r="D75" s="126" t="str">
        <f t="shared" ca="1" si="20"/>
        <v>kg</v>
      </c>
      <c r="E75" s="127">
        <f t="shared" ca="1" si="21"/>
        <v>20837</v>
      </c>
      <c r="F75" s="612">
        <f t="shared" ca="1" si="22"/>
        <v>0</v>
      </c>
      <c r="G75" s="527">
        <f t="shared" ca="1" si="23"/>
        <v>0</v>
      </c>
      <c r="H75" s="527">
        <f t="shared" ca="1" si="24"/>
        <v>0</v>
      </c>
      <c r="I75" s="129">
        <f t="shared" ca="1" si="25"/>
        <v>0</v>
      </c>
    </row>
    <row r="76" spans="1:9" ht="20.100000000000001" customHeight="1">
      <c r="A76" s="651" t="str">
        <f ca="1">INDIRECT("Datos!B"&amp;MATCH("RUBRO ITEM",Datos!B:B,0)+ROW()-MATCH("RUBRO ITEM",A:A,0))</f>
        <v>6.2.7</v>
      </c>
      <c r="B76" s="66" t="str">
        <f t="shared" ca="1" si="19"/>
        <v>Remocion recubrimiento dañado y limpieza en pila, fondo losa y estribos</v>
      </c>
      <c r="C76" s="125"/>
      <c r="D76" s="126" t="str">
        <f t="shared" ca="1" si="20"/>
        <v>m2</v>
      </c>
      <c r="E76" s="127">
        <f t="shared" ca="1" si="21"/>
        <v>311</v>
      </c>
      <c r="F76" s="612">
        <f t="shared" ca="1" si="22"/>
        <v>0</v>
      </c>
      <c r="G76" s="527">
        <f t="shared" ca="1" si="23"/>
        <v>0</v>
      </c>
      <c r="H76" s="527">
        <f t="shared" ca="1" si="24"/>
        <v>0</v>
      </c>
      <c r="I76" s="129">
        <f t="shared" ca="1" si="25"/>
        <v>0</v>
      </c>
    </row>
    <row r="77" spans="1:9" ht="20.100000000000001" customHeight="1">
      <c r="A77" s="651" t="str">
        <f ca="1">INDIRECT("Datos!B"&amp;MATCH("RUBRO ITEM",Datos!B:B,0)+ROW()-MATCH("RUBRO ITEM",A:A,0))</f>
        <v>6.2.8</v>
      </c>
      <c r="B77" s="66" t="str">
        <f t="shared" ca="1" si="19"/>
        <v>Arenado de armaduras existentes</v>
      </c>
      <c r="C77" s="125"/>
      <c r="D77" s="126" t="str">
        <f t="shared" ca="1" si="20"/>
        <v>m2</v>
      </c>
      <c r="E77" s="127">
        <f t="shared" ca="1" si="21"/>
        <v>171</v>
      </c>
      <c r="F77" s="612">
        <f t="shared" ca="1" si="22"/>
        <v>0</v>
      </c>
      <c r="G77" s="527">
        <f t="shared" ca="1" si="23"/>
        <v>0</v>
      </c>
      <c r="H77" s="527">
        <f t="shared" ca="1" si="24"/>
        <v>0</v>
      </c>
      <c r="I77" s="129">
        <f t="shared" ca="1" si="25"/>
        <v>0</v>
      </c>
    </row>
    <row r="78" spans="1:9" ht="20.100000000000001" customHeight="1">
      <c r="A78" s="651" t="str">
        <f ca="1">INDIRECT("Datos!B"&amp;MATCH("RUBRO ITEM",Datos!B:B,0)+ROW()-MATCH("RUBRO ITEM",A:A,0))</f>
        <v>6.2.9</v>
      </c>
      <c r="B78" s="66" t="str">
        <f t="shared" ca="1" si="19"/>
        <v>provision e instalacion de pernos de anclaje en estribos</v>
      </c>
      <c r="C78" s="125"/>
      <c r="D78" s="126" t="str">
        <f t="shared" ca="1" si="20"/>
        <v>unidad</v>
      </c>
      <c r="E78" s="127">
        <f t="shared" ca="1" si="21"/>
        <v>120</v>
      </c>
      <c r="F78" s="612">
        <f t="shared" ca="1" si="22"/>
        <v>0</v>
      </c>
      <c r="G78" s="527">
        <f t="shared" ca="1" si="23"/>
        <v>0</v>
      </c>
      <c r="H78" s="527">
        <f t="shared" ca="1" si="24"/>
        <v>0</v>
      </c>
      <c r="I78" s="129">
        <f t="shared" ca="1" si="25"/>
        <v>0</v>
      </c>
    </row>
    <row r="79" spans="1:9" ht="20.100000000000001" customHeight="1">
      <c r="A79" s="651" t="str">
        <f ca="1">INDIRECT("Datos!B"&amp;MATCH("RUBRO ITEM",Datos!B:B,0)+ROW()-MATCH("RUBRO ITEM",A:A,0))</f>
        <v>6.2.10</v>
      </c>
      <c r="B79" s="66" t="str">
        <f t="shared" ca="1" si="19"/>
        <v>Proteccion convertidor de óxido</v>
      </c>
      <c r="C79" s="125"/>
      <c r="D79" s="126" t="str">
        <f t="shared" ca="1" si="20"/>
        <v>litros</v>
      </c>
      <c r="E79" s="127">
        <f t="shared" ca="1" si="21"/>
        <v>62</v>
      </c>
      <c r="F79" s="612">
        <f t="shared" ca="1" si="22"/>
        <v>0</v>
      </c>
      <c r="G79" s="527">
        <f t="shared" ca="1" si="23"/>
        <v>0</v>
      </c>
      <c r="H79" s="527">
        <f t="shared" ca="1" si="24"/>
        <v>0</v>
      </c>
      <c r="I79" s="129">
        <f t="shared" ca="1" si="25"/>
        <v>0</v>
      </c>
    </row>
    <row r="80" spans="1:9" ht="20.100000000000001" customHeight="1">
      <c r="A80" s="651" t="str">
        <f ca="1">INDIRECT("Datos!B"&amp;MATCH("RUBRO ITEM",Datos!B:B,0)+ROW()-MATCH("RUBRO ITEM",A:A,0))</f>
        <v>6.2.11</v>
      </c>
      <c r="B80" s="66" t="str">
        <f t="shared" ca="1" si="19"/>
        <v>Puente de adherencia entre hormigones</v>
      </c>
      <c r="C80" s="125"/>
      <c r="D80" s="126" t="str">
        <f t="shared" ca="1" si="20"/>
        <v>kg</v>
      </c>
      <c r="E80" s="127">
        <f t="shared" ca="1" si="21"/>
        <v>30</v>
      </c>
      <c r="F80" s="612">
        <f t="shared" ca="1" si="22"/>
        <v>0</v>
      </c>
      <c r="G80" s="527">
        <f t="shared" ca="1" si="23"/>
        <v>0</v>
      </c>
      <c r="H80" s="527">
        <f t="shared" ca="1" si="24"/>
        <v>0</v>
      </c>
      <c r="I80" s="129">
        <f t="shared" ca="1" si="25"/>
        <v>0</v>
      </c>
    </row>
    <row r="81" spans="1:11" ht="20.100000000000001" customHeight="1">
      <c r="A81" s="651" t="str">
        <f ca="1">INDIRECT("Datos!B"&amp;MATCH("RUBRO ITEM",Datos!B:B,0)+ROW()-MATCH("RUBRO ITEM",A:A,0))</f>
        <v>6.2.12</v>
      </c>
      <c r="B81" s="66" t="str">
        <f t="shared" ca="1" si="19"/>
        <v>Juntas de dilatacion</v>
      </c>
      <c r="C81" s="125"/>
      <c r="D81" s="126" t="str">
        <f t="shared" ca="1" si="20"/>
        <v>m</v>
      </c>
      <c r="E81" s="127">
        <f t="shared" ca="1" si="21"/>
        <v>72</v>
      </c>
      <c r="F81" s="612">
        <f t="shared" ca="1" si="22"/>
        <v>0</v>
      </c>
      <c r="G81" s="527">
        <f t="shared" ca="1" si="23"/>
        <v>0</v>
      </c>
      <c r="H81" s="527">
        <f t="shared" ca="1" si="24"/>
        <v>0</v>
      </c>
      <c r="I81" s="129">
        <f t="shared" ca="1" si="25"/>
        <v>0</v>
      </c>
    </row>
    <row r="82" spans="1:11" ht="20.100000000000001" customHeight="1">
      <c r="A82" s="651" t="str">
        <f ca="1">INDIRECT("Datos!B"&amp;MATCH("RUBRO ITEM",Datos!B:B,0)+ROW()-MATCH("RUBRO ITEM",A:A,0))</f>
        <v>6.2.13</v>
      </c>
      <c r="B82" s="66" t="str">
        <f t="shared" ca="1" si="19"/>
        <v>Hormigón ciclopeo</v>
      </c>
      <c r="C82" s="125"/>
      <c r="D82" s="126" t="str">
        <f t="shared" ca="1" si="20"/>
        <v>m3</v>
      </c>
      <c r="E82" s="127">
        <f t="shared" ca="1" si="21"/>
        <v>9</v>
      </c>
      <c r="F82" s="612">
        <f t="shared" ca="1" si="22"/>
        <v>0</v>
      </c>
      <c r="G82" s="527">
        <f t="shared" ca="1" si="23"/>
        <v>0</v>
      </c>
      <c r="H82" s="527">
        <f t="shared" ca="1" si="24"/>
        <v>0</v>
      </c>
      <c r="I82" s="129">
        <f t="shared" ca="1" si="25"/>
        <v>0</v>
      </c>
    </row>
    <row r="83" spans="1:11" ht="20.100000000000001" customHeight="1">
      <c r="A83" s="651" t="str">
        <f ca="1">INDIRECT("Datos!B"&amp;MATCH("RUBRO ITEM",Datos!B:B,0)+ROW()-MATCH("RUBRO ITEM",A:A,0))</f>
        <v>6.2.14</v>
      </c>
      <c r="B83" s="66" t="str">
        <f t="shared" ca="1" si="19"/>
        <v>Aplicación puente de adherencia y reconstruccion de recubrimiento</v>
      </c>
      <c r="C83" s="125"/>
      <c r="D83" s="126" t="str">
        <f t="shared" ca="1" si="20"/>
        <v>m2</v>
      </c>
      <c r="E83" s="127">
        <f t="shared" ca="1" si="21"/>
        <v>160</v>
      </c>
      <c r="F83" s="612">
        <f t="shared" ca="1" si="22"/>
        <v>0</v>
      </c>
      <c r="G83" s="527">
        <f t="shared" ca="1" si="23"/>
        <v>0</v>
      </c>
      <c r="H83" s="527">
        <f t="shared" ca="1" si="24"/>
        <v>0</v>
      </c>
      <c r="I83" s="129">
        <f t="shared" ca="1" si="25"/>
        <v>0</v>
      </c>
    </row>
    <row r="84" spans="1:11" ht="20.100000000000001" customHeight="1">
      <c r="A84" s="656" t="str">
        <f ca="1">INDIRECT("Datos!B"&amp;MATCH("RUBRO ITEM",Datos!B:B,0)+ROW()-MATCH("RUBRO ITEM",A:A,0))</f>
        <v>6.2.15</v>
      </c>
      <c r="B84" s="66" t="str">
        <f t="shared" ref="B84" ca="1" si="26">IFERROR(VLOOKUP(A84,T_Datos,2,FALSE),"")</f>
        <v>Juntas constructivas</v>
      </c>
      <c r="C84" s="125"/>
      <c r="D84" s="126" t="str">
        <f t="shared" ref="D84" ca="1" si="27">IFERROR(VLOOKUP(A84,T_Datos,3,FALSE),"")</f>
        <v>m3</v>
      </c>
      <c r="E84" s="127">
        <f t="shared" ref="E84" ca="1" si="28">IFERROR(VLOOKUP(A84,T_Datos,4,FALSE),0)</f>
        <v>29</v>
      </c>
      <c r="F84" s="657"/>
      <c r="G84" s="658"/>
      <c r="H84" s="527"/>
      <c r="I84" s="129"/>
    </row>
    <row r="85" spans="1:11" ht="20.100000000000001" customHeight="1">
      <c r="A85" s="528" t="s">
        <v>3</v>
      </c>
      <c r="B85" s="438" t="s">
        <v>1842</v>
      </c>
      <c r="C85" s="130"/>
      <c r="D85" s="130"/>
      <c r="E85" s="447" t="s">
        <v>964</v>
      </c>
      <c r="F85" s="439"/>
      <c r="G85" s="448">
        <v>0</v>
      </c>
      <c r="H85" s="361">
        <f ca="1">SUM(H17:H49)</f>
        <v>0</v>
      </c>
      <c r="I85" s="131">
        <f ca="1">SUM(I17:I51)</f>
        <v>0</v>
      </c>
    </row>
    <row r="86" spans="1:11" ht="20.100000000000001" customHeight="1">
      <c r="A86" s="68"/>
      <c r="B86" s="68"/>
      <c r="C86" s="68"/>
      <c r="D86" s="68"/>
      <c r="E86" s="68"/>
      <c r="F86" s="68"/>
      <c r="G86" s="529"/>
      <c r="H86" s="68"/>
    </row>
    <row r="87" spans="1:11" ht="20.100000000000001" customHeight="1">
      <c r="A87" s="489" t="s">
        <v>894</v>
      </c>
      <c r="B87" s="490" t="s">
        <v>1857</v>
      </c>
      <c r="C87" s="490"/>
      <c r="D87" s="491"/>
      <c r="E87" s="530"/>
      <c r="F87" s="492"/>
      <c r="G87" s="530"/>
      <c r="H87" s="493">
        <f ca="1">ROUND(Monto_Oferta/Coeficiente_Paso,2)</f>
        <v>0</v>
      </c>
      <c r="I87" s="132"/>
    </row>
    <row r="88" spans="1:11" ht="20.100000000000001" customHeight="1">
      <c r="A88" s="494" t="s">
        <v>895</v>
      </c>
      <c r="B88" s="136" t="str">
        <f>"COSTO FINANCIERO  "&amp;ROUND(Costo_Financiero*100,2)&amp;" % de ( 1 )"</f>
        <v>COSTO FINANCIERO  0 % de ( 1 )</v>
      </c>
      <c r="C88" s="136"/>
      <c r="D88" s="495"/>
      <c r="E88" s="531">
        <f>Costo_Financiero</f>
        <v>0</v>
      </c>
      <c r="F88" s="67"/>
      <c r="G88" s="68"/>
      <c r="H88" s="496">
        <f ca="1">ROUND(H87*Costo_Financiero,2)</f>
        <v>0</v>
      </c>
      <c r="I88" s="132"/>
    </row>
    <row r="89" spans="1:11" ht="20.100000000000001" customHeight="1">
      <c r="A89" s="494" t="s">
        <v>896</v>
      </c>
      <c r="B89" s="136" t="s">
        <v>1858</v>
      </c>
      <c r="C89" s="136"/>
      <c r="D89" s="495"/>
      <c r="E89" s="68"/>
      <c r="F89" s="67"/>
      <c r="G89" s="68"/>
      <c r="H89" s="496">
        <f ca="1">H87+H88</f>
        <v>0</v>
      </c>
      <c r="I89" s="132"/>
    </row>
    <row r="90" spans="1:11" ht="20.100000000000001" customHeight="1">
      <c r="A90" s="494" t="s">
        <v>897</v>
      </c>
      <c r="B90" s="133" t="str">
        <f>CONCATENATE("GASTOS GENERALES  ",ROUND(Gasto_Generales_Porcentaje*100,3)," % de ( 3 )")</f>
        <v>GASTOS GENERALES  0 % de ( 3 )</v>
      </c>
      <c r="C90" s="133"/>
      <c r="D90" s="134"/>
      <c r="E90" s="531">
        <f>Gasto_Generales_Porcentaje</f>
        <v>0</v>
      </c>
      <c r="F90" s="67"/>
      <c r="G90" s="68"/>
      <c r="H90" s="496">
        <f ca="1">ROUND(H89*E90,2)</f>
        <v>0</v>
      </c>
      <c r="I90" s="134"/>
    </row>
    <row r="91" spans="1:11" ht="20.100000000000001" customHeight="1">
      <c r="A91" s="494" t="s">
        <v>898</v>
      </c>
      <c r="B91" s="133" t="str">
        <f>CONCATENATE("BENEFICIOS  ",ROUND(Beneficio*100,2)," % de ( 3 )")</f>
        <v>BENEFICIOS  0 % de ( 3 )</v>
      </c>
      <c r="C91" s="133"/>
      <c r="D91" s="134"/>
      <c r="E91" s="531">
        <f>Beneficio</f>
        <v>0</v>
      </c>
      <c r="F91" s="67"/>
      <c r="G91" s="68"/>
      <c r="H91" s="496">
        <f ca="1">ROUND(H89*Beneficio,2)</f>
        <v>0</v>
      </c>
      <c r="I91" s="134"/>
    </row>
    <row r="92" spans="1:11" ht="20.100000000000001" customHeight="1">
      <c r="A92" s="494">
        <v>6</v>
      </c>
      <c r="B92" s="136" t="s">
        <v>1859</v>
      </c>
      <c r="C92" s="136"/>
      <c r="D92" s="134"/>
      <c r="E92" s="68"/>
      <c r="F92" s="67"/>
      <c r="G92" s="68"/>
      <c r="H92" s="496">
        <f ca="1">H89+H90+H91</f>
        <v>0</v>
      </c>
      <c r="I92" s="134"/>
    </row>
    <row r="93" spans="1:11" ht="20.100000000000001" customHeight="1">
      <c r="A93" s="494" t="s">
        <v>1860</v>
      </c>
      <c r="B93" s="133" t="str">
        <f>CONCATENATE("INGRESOS BRUTOS Y LOTE HOGAR  ",ROUND(Ingresos_Brutos*100,2)," % de ( 6 )")</f>
        <v>INGRESOS BRUTOS Y LOTE HOGAR  0 % de ( 6 )</v>
      </c>
      <c r="C93" s="133"/>
      <c r="D93" s="134"/>
      <c r="E93" s="531">
        <f>Ingresos_Brutos</f>
        <v>0</v>
      </c>
      <c r="F93" s="67"/>
      <c r="G93" s="68"/>
      <c r="H93" s="496">
        <f ca="1">ROUND(Ingresos_Brutos*H92,2)</f>
        <v>0</v>
      </c>
      <c r="I93" s="134"/>
    </row>
    <row r="94" spans="1:11" ht="20.100000000000001" customHeight="1">
      <c r="A94" s="497" t="s">
        <v>1861</v>
      </c>
      <c r="B94" s="498" t="str">
        <f>CONCATENATE("IMPUESTO AL VALOR AGREGADO ",IVA*100," % de ( 6 )")</f>
        <v>IMPUESTO AL VALOR AGREGADO 0 % de ( 6 )</v>
      </c>
      <c r="C94" s="498"/>
      <c r="D94" s="499"/>
      <c r="E94" s="532">
        <f>IVA</f>
        <v>0</v>
      </c>
      <c r="F94" s="500"/>
      <c r="G94" s="533"/>
      <c r="H94" s="501">
        <f ca="1">ROUND(IVA*H92,2)</f>
        <v>0</v>
      </c>
      <c r="I94" s="134"/>
    </row>
    <row r="95" spans="1:11" ht="20.100000000000001" customHeight="1">
      <c r="A95" s="137"/>
      <c r="B95" s="133"/>
      <c r="C95" s="133"/>
      <c r="D95" s="134"/>
      <c r="E95" s="135"/>
      <c r="F95" s="67"/>
      <c r="H95" s="138"/>
      <c r="I95" s="134"/>
    </row>
    <row r="96" spans="1:11" ht="20.100000000000001" customHeight="1">
      <c r="A96" s="139"/>
      <c r="B96" s="139" t="s">
        <v>1862</v>
      </c>
      <c r="C96" s="139"/>
      <c r="D96" s="134"/>
      <c r="F96" s="67"/>
      <c r="H96" s="534">
        <f ca="1">Monto_Oferta</f>
        <v>0</v>
      </c>
      <c r="I96" s="134"/>
      <c r="K96" s="639">
        <f ca="1">K95-H96</f>
        <v>0</v>
      </c>
    </row>
    <row r="97" spans="1:9" ht="20.100000000000001" customHeight="1">
      <c r="I97" s="140"/>
    </row>
    <row r="98" spans="1:9" ht="60" customHeight="1">
      <c r="A98" s="676" t="str">
        <f ca="1">"El presente presupuesto asciende a la suma de: " &amp; UPPER(CONVERTIRNUM(Monto_Oferta))</f>
        <v>El presente presupuesto asciende a la suma de: CERO PESOS CON 00/100</v>
      </c>
      <c r="B98" s="676"/>
      <c r="C98" s="676"/>
      <c r="D98" s="676"/>
      <c r="E98" s="676"/>
      <c r="F98" s="676"/>
      <c r="G98" s="676"/>
      <c r="H98" s="676"/>
      <c r="I98" s="676"/>
    </row>
    <row r="99" spans="1:9">
      <c r="A99" s="68" t="s">
        <v>939</v>
      </c>
    </row>
  </sheetData>
  <mergeCells count="2">
    <mergeCell ref="B15:C15"/>
    <mergeCell ref="A98:I98"/>
  </mergeCells>
  <conditionalFormatting sqref="I97 A95:D96">
    <cfRule type="expression" dxfId="123" priority="316" stopIfTrue="1">
      <formula>#REF!=1</formula>
    </cfRule>
  </conditionalFormatting>
  <conditionalFormatting sqref="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95:C96 A95">
    <cfRule type="expression" dxfId="119" priority="323" stopIfTrue="1">
      <formula>#REF!=1</formula>
    </cfRule>
  </conditionalFormatting>
  <conditionalFormatting sqref="F95:F96 H95:I96 A95:D96">
    <cfRule type="expression" dxfId="118" priority="324" stopIfTrue="1">
      <formula>#REF!=1</formula>
    </cfRule>
  </conditionalFormatting>
  <conditionalFormatting sqref="I95 A95">
    <cfRule type="expression" dxfId="117" priority="314" stopIfTrue="1">
      <formula>#REF!=1</formula>
    </cfRule>
  </conditionalFormatting>
  <conditionalFormatting sqref="I96">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51:A85">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90:D94">
    <cfRule type="expression" dxfId="106" priority="39" stopIfTrue="1">
      <formula>#REF!=1</formula>
    </cfRule>
  </conditionalFormatting>
  <conditionalFormatting sqref="A89:D89 B90:C91 B93:C94 A91 A93">
    <cfRule type="expression" dxfId="105" priority="40" stopIfTrue="1">
      <formula>#REF!=1</formula>
    </cfRule>
  </conditionalFormatting>
  <conditionalFormatting sqref="D89:D94 B89:C91 B93:C94 A89:A94 F89:F94 H90:I91 H93:I94 I92 I89">
    <cfRule type="expression" dxfId="104" priority="41" stopIfTrue="1">
      <formula>#REF!=1</formula>
    </cfRule>
  </conditionalFormatting>
  <conditionalFormatting sqref="I90">
    <cfRule type="expression" dxfId="103" priority="38" stopIfTrue="1">
      <formula>#REF!=1</formula>
    </cfRule>
  </conditionalFormatting>
  <conditionalFormatting sqref="I92">
    <cfRule type="expression" dxfId="102" priority="37" stopIfTrue="1">
      <formula>#REF!=1</formula>
    </cfRule>
  </conditionalFormatting>
  <conditionalFormatting sqref="I94">
    <cfRule type="expression" dxfId="101" priority="36" stopIfTrue="1">
      <formula>#REF!=1</formula>
    </cfRule>
  </conditionalFormatting>
  <conditionalFormatting sqref="I93">
    <cfRule type="expression" dxfId="100" priority="35" stopIfTrue="1">
      <formula>#REF!=1</formula>
    </cfRule>
  </conditionalFormatting>
  <conditionalFormatting sqref="I91">
    <cfRule type="expression" dxfId="99" priority="34" stopIfTrue="1">
      <formula>#REF!=1</formula>
    </cfRule>
  </conditionalFormatting>
  <conditionalFormatting sqref="A89 A91 A93">
    <cfRule type="expression" dxfId="98" priority="33" stopIfTrue="1">
      <formula>#REF!=1</formula>
    </cfRule>
  </conditionalFormatting>
  <conditionalFormatting sqref="B89:C89">
    <cfRule type="expression" dxfId="97" priority="32" stopIfTrue="1">
      <formula>#REF!=1</formula>
    </cfRule>
  </conditionalFormatting>
  <conditionalFormatting sqref="B92:C92">
    <cfRule type="expression" dxfId="96" priority="31" stopIfTrue="1">
      <formula>#REF!=1</formula>
    </cfRule>
  </conditionalFormatting>
  <conditionalFormatting sqref="B94:C94">
    <cfRule type="expression" dxfId="95" priority="30" stopIfTrue="1">
      <formula>#REF!=1</formula>
    </cfRule>
  </conditionalFormatting>
  <conditionalFormatting sqref="A90 A92 A94">
    <cfRule type="expression" dxfId="94" priority="29" stopIfTrue="1">
      <formula>#REF!=1</formula>
    </cfRule>
  </conditionalFormatting>
  <conditionalFormatting sqref="A90 A92 A94">
    <cfRule type="expression" dxfId="93" priority="28" stopIfTrue="1">
      <formula>#REF!=1</formula>
    </cfRule>
  </conditionalFormatting>
  <conditionalFormatting sqref="B93:C93">
    <cfRule type="expression" dxfId="92" priority="27" stopIfTrue="1">
      <formula>#REF!=1</formula>
    </cfRule>
  </conditionalFormatting>
  <conditionalFormatting sqref="H92">
    <cfRule type="expression" dxfId="91" priority="26" stopIfTrue="1">
      <formula>#REF!=1</formula>
    </cfRule>
  </conditionalFormatting>
  <conditionalFormatting sqref="H89">
    <cfRule type="expression" dxfId="90" priority="25" stopIfTrue="1">
      <formula>#REF!=1</formula>
    </cfRule>
  </conditionalFormatting>
  <conditionalFormatting sqref="A87:D88">
    <cfRule type="expression" dxfId="89" priority="23" stopIfTrue="1">
      <formula>#REF!=1</formula>
    </cfRule>
  </conditionalFormatting>
  <conditionalFormatting sqref="A87:D88 F87:F88 I87:I88 A89">
    <cfRule type="expression" dxfId="88" priority="24" stopIfTrue="1">
      <formula>#REF!=1</formula>
    </cfRule>
  </conditionalFormatting>
  <conditionalFormatting sqref="A87:A89">
    <cfRule type="expression" dxfId="87" priority="22" stopIfTrue="1">
      <formula>#REF!=1</formula>
    </cfRule>
  </conditionalFormatting>
  <conditionalFormatting sqref="B87:C88">
    <cfRule type="expression" dxfId="86" priority="21" stopIfTrue="1">
      <formula>#REF!=1</formula>
    </cfRule>
  </conditionalFormatting>
  <conditionalFormatting sqref="H87">
    <cfRule type="expression" dxfId="85" priority="20" stopIfTrue="1">
      <formula>#REF!=1</formula>
    </cfRule>
  </conditionalFormatting>
  <conditionalFormatting sqref="H88">
    <cfRule type="expression" dxfId="84" priority="19" stopIfTrue="1">
      <formula>#REF!=1</formula>
    </cfRule>
  </conditionalFormatting>
  <conditionalFormatting sqref="C32:C84">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B32:B84 E32:E84">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50">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3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M4063"/>
  <sheetViews>
    <sheetView showGridLines="0" showZeros="0" view="pageBreakPreview" topLeftCell="A106" zoomScaleNormal="120" zoomScaleSheetLayoutView="100" workbookViewId="0">
      <selection activeCell="C3991" sqref="C3991"/>
    </sheetView>
  </sheetViews>
  <sheetFormatPr baseColWidth="10" defaultRowHeight="19.899999999999999" customHeight="1"/>
  <cols>
    <col min="1" max="1" width="20.7109375" style="452" customWidth="1"/>
    <col min="2" max="2" width="25.7109375" style="452" customWidth="1"/>
    <col min="3" max="3" width="40.7109375" style="452" customWidth="1"/>
    <col min="4" max="4" width="10.7109375" style="452" customWidth="1"/>
    <col min="5" max="5" width="12.7109375" style="452" customWidth="1"/>
    <col min="6" max="7" width="15.7109375" style="487" customWidth="1"/>
    <col min="8" max="8" width="11.42578125" style="452"/>
    <col min="9" max="9" width="13" style="452" bestFit="1" customWidth="1"/>
    <col min="10" max="16384" width="11.42578125" style="452"/>
  </cols>
  <sheetData>
    <row r="1" spans="1:8" ht="19.899999999999999" customHeight="1">
      <c r="A1" s="687" t="s">
        <v>30</v>
      </c>
      <c r="B1" s="688"/>
      <c r="C1" s="688"/>
      <c r="D1" s="688"/>
      <c r="E1" s="688"/>
      <c r="F1" s="688"/>
      <c r="G1" s="689"/>
      <c r="H1" s="60"/>
    </row>
    <row r="2" spans="1:8" ht="19.899999999999999" customHeight="1">
      <c r="A2" s="502" t="s">
        <v>710</v>
      </c>
      <c r="B2" s="453" t="str">
        <f>Comitente</f>
        <v>DEPARTAMENTO DE HIDRAULICA</v>
      </c>
      <c r="C2" s="454"/>
      <c r="D2" s="455"/>
      <c r="E2" s="455"/>
      <c r="F2" s="456"/>
      <c r="G2" s="503"/>
      <c r="H2" s="60"/>
    </row>
    <row r="3" spans="1:8" ht="19.899999999999999" customHeight="1">
      <c r="A3" s="502" t="s">
        <v>711</v>
      </c>
      <c r="B3" s="453">
        <f>Contratista</f>
        <v>0</v>
      </c>
      <c r="C3" s="457"/>
      <c r="D3" s="457"/>
      <c r="E3" s="457"/>
      <c r="F3" s="453"/>
      <c r="G3" s="504"/>
      <c r="H3" s="60"/>
    </row>
    <row r="4" spans="1:8" ht="19.899999999999999" customHeight="1">
      <c r="A4" s="502" t="s">
        <v>20</v>
      </c>
      <c r="B4" s="453" t="str">
        <f>Obra</f>
        <v>MEJORA DE LA RED DE RIEGO DEL VALLE DE JÁCHAL</v>
      </c>
      <c r="C4" s="457"/>
      <c r="D4" s="457"/>
      <c r="E4" s="457"/>
      <c r="F4" s="453" t="s">
        <v>31</v>
      </c>
      <c r="G4" s="504" t="str">
        <f>Fecha_Base</f>
        <v>XX/07/2020</v>
      </c>
      <c r="H4" s="60"/>
    </row>
    <row r="5" spans="1:8" ht="19.899999999999999" customHeight="1">
      <c r="A5" s="505" t="s">
        <v>709</v>
      </c>
      <c r="B5" s="458" t="str">
        <f>Ubicación</f>
        <v>JACHAL</v>
      </c>
      <c r="C5" s="458"/>
      <c r="D5" s="459"/>
      <c r="E5" s="460"/>
      <c r="F5" s="461"/>
      <c r="G5" s="506"/>
      <c r="H5" s="60"/>
    </row>
    <row r="6" spans="1:8" ht="19.899999999999999" customHeight="1">
      <c r="A6" s="505" t="s">
        <v>32</v>
      </c>
      <c r="B6" s="462" t="str">
        <f>IFERROR(VALUE(LEFT(B7,FIND(".",B7)-1)),"")</f>
        <v/>
      </c>
      <c r="C6" s="163">
        <f ca="1">IFERROR(VLOOKUP(B6,T_Computo_Presupuesto,2,FALSE),0)</f>
        <v>0</v>
      </c>
      <c r="D6" s="163"/>
      <c r="E6" s="460"/>
      <c r="F6" s="461"/>
      <c r="G6" s="506"/>
      <c r="H6" s="60"/>
    </row>
    <row r="7" spans="1:8" ht="19.899999999999999" customHeight="1">
      <c r="A7" s="505" t="s">
        <v>21</v>
      </c>
      <c r="B7" s="463">
        <f>IFERROR(VLOOKUP(COUNTIF($A$1:A7,"ANALISIS DE PRECIOS"),T_NumeroItem,2,FALSE),"")</f>
        <v>1</v>
      </c>
      <c r="C7" s="690" t="str">
        <f ca="1">IFERROR(VLOOKUP(B7,T_Computo_Presupuesto,2,FALSE),0)</f>
        <v>PROYECTO EJECUTIVO</v>
      </c>
      <c r="D7" s="690"/>
      <c r="E7" s="690"/>
      <c r="F7" s="458" t="s">
        <v>22</v>
      </c>
      <c r="G7" s="507" t="str">
        <f ca="1">IFERROR(VLOOKUP(B7,T_Computo_Presupuesto,4,FALSE),0)</f>
        <v>gl.</v>
      </c>
      <c r="H7" s="60"/>
    </row>
    <row r="8" spans="1:8" ht="19.899999999999999" customHeight="1">
      <c r="A8" s="505"/>
      <c r="B8" s="458"/>
      <c r="C8" s="163"/>
      <c r="D8" s="459"/>
      <c r="E8" s="460"/>
      <c r="F8" s="163"/>
      <c r="G8" s="508"/>
      <c r="H8" s="60"/>
    </row>
    <row r="9" spans="1:8" ht="19.899999999999999" customHeight="1">
      <c r="A9" s="509"/>
      <c r="B9" s="464"/>
      <c r="C9" s="465" t="s">
        <v>998</v>
      </c>
      <c r="D9" s="464"/>
      <c r="E9" s="464"/>
      <c r="F9" s="464"/>
      <c r="G9" s="510"/>
      <c r="H9" s="60"/>
    </row>
    <row r="10" spans="1:8" ht="19.899999999999999" customHeight="1">
      <c r="A10" s="505"/>
      <c r="B10" s="466"/>
      <c r="C10" s="163"/>
      <c r="D10" s="459"/>
      <c r="E10" s="460"/>
      <c r="F10" s="458"/>
      <c r="G10" s="507"/>
      <c r="H10" s="60"/>
    </row>
    <row r="11" spans="1:8" ht="19.899999999999999" customHeight="1">
      <c r="A11" s="505"/>
      <c r="B11" s="466"/>
      <c r="C11" s="467" t="s">
        <v>999</v>
      </c>
      <c r="D11" s="468" t="s">
        <v>23</v>
      </c>
      <c r="E11" s="468" t="s">
        <v>1000</v>
      </c>
      <c r="F11" s="468" t="s">
        <v>1001</v>
      </c>
      <c r="G11" s="467" t="s">
        <v>1002</v>
      </c>
    </row>
    <row r="12" spans="1:8" ht="19.899999999999999" customHeight="1">
      <c r="A12" s="505"/>
      <c r="B12" s="466"/>
      <c r="C12" s="469"/>
      <c r="D12" s="470"/>
      <c r="E12" s="471">
        <f t="shared" ref="E12:E20" si="0">IFERROR(VLOOKUP(C12,T_Equipos,4,FALSE),0)</f>
        <v>0</v>
      </c>
      <c r="F12" s="472">
        <f t="shared" ref="F12:F20" si="1">IFERROR(VLOOKUP(C12,T_Equipos,5,FALSE),0)</f>
        <v>0</v>
      </c>
      <c r="G12" s="472">
        <f>ROUND(D12*F12,2)</f>
        <v>0</v>
      </c>
    </row>
    <row r="13" spans="1:8" ht="19.899999999999999" customHeight="1">
      <c r="A13" s="505"/>
      <c r="B13" s="466"/>
      <c r="C13" s="469"/>
      <c r="D13" s="470"/>
      <c r="E13" s="471">
        <f t="shared" si="0"/>
        <v>0</v>
      </c>
      <c r="F13" s="472">
        <f t="shared" si="1"/>
        <v>0</v>
      </c>
      <c r="G13" s="472">
        <f>ROUND(D13*F13,2)</f>
        <v>0</v>
      </c>
    </row>
    <row r="14" spans="1:8" ht="19.899999999999999" customHeight="1">
      <c r="A14" s="505"/>
      <c r="B14" s="466"/>
      <c r="C14" s="469"/>
      <c r="D14" s="470"/>
      <c r="E14" s="471">
        <f t="shared" si="0"/>
        <v>0</v>
      </c>
      <c r="F14" s="472">
        <f t="shared" si="1"/>
        <v>0</v>
      </c>
      <c r="G14" s="472">
        <f>ROUND(D14*F14,2)</f>
        <v>0</v>
      </c>
    </row>
    <row r="15" spans="1:8" ht="19.899999999999999" customHeight="1">
      <c r="A15" s="505"/>
      <c r="B15" s="466"/>
      <c r="C15" s="469"/>
      <c r="D15" s="470"/>
      <c r="E15" s="471">
        <f t="shared" si="0"/>
        <v>0</v>
      </c>
      <c r="F15" s="472">
        <f t="shared" si="1"/>
        <v>0</v>
      </c>
      <c r="G15" s="472">
        <f>ROUND(D15*F15,2)</f>
        <v>0</v>
      </c>
    </row>
    <row r="16" spans="1:8" ht="19.899999999999999" customHeight="1">
      <c r="A16" s="505"/>
      <c r="B16" s="466"/>
      <c r="C16" s="469"/>
      <c r="D16" s="470"/>
      <c r="E16" s="471">
        <f t="shared" si="0"/>
        <v>0</v>
      </c>
      <c r="F16" s="472">
        <f t="shared" si="1"/>
        <v>0</v>
      </c>
      <c r="G16" s="472">
        <f t="shared" ref="G16:G21" si="2">ROUND(D16*F16,2)</f>
        <v>0</v>
      </c>
    </row>
    <row r="17" spans="1:7" ht="19.899999999999999" customHeight="1">
      <c r="A17" s="505"/>
      <c r="B17" s="466"/>
      <c r="C17" s="469"/>
      <c r="D17" s="470"/>
      <c r="E17" s="471">
        <f t="shared" si="0"/>
        <v>0</v>
      </c>
      <c r="F17" s="472">
        <f t="shared" si="1"/>
        <v>0</v>
      </c>
      <c r="G17" s="472">
        <f t="shared" si="2"/>
        <v>0</v>
      </c>
    </row>
    <row r="18" spans="1:7" ht="19.899999999999999" customHeight="1">
      <c r="A18" s="505"/>
      <c r="B18" s="466"/>
      <c r="C18" s="469"/>
      <c r="D18" s="470"/>
      <c r="E18" s="471">
        <f t="shared" si="0"/>
        <v>0</v>
      </c>
      <c r="F18" s="472">
        <f t="shared" si="1"/>
        <v>0</v>
      </c>
      <c r="G18" s="472">
        <f t="shared" si="2"/>
        <v>0</v>
      </c>
    </row>
    <row r="19" spans="1:7" ht="19.899999999999999" customHeight="1">
      <c r="A19" s="505"/>
      <c r="B19" s="466"/>
      <c r="C19" s="469"/>
      <c r="D19" s="470"/>
      <c r="E19" s="471">
        <f t="shared" si="0"/>
        <v>0</v>
      </c>
      <c r="F19" s="472">
        <f t="shared" si="1"/>
        <v>0</v>
      </c>
      <c r="G19" s="472">
        <f t="shared" si="2"/>
        <v>0</v>
      </c>
    </row>
    <row r="20" spans="1:7" ht="19.899999999999999" customHeight="1">
      <c r="A20" s="505"/>
      <c r="B20" s="466"/>
      <c r="C20" s="469"/>
      <c r="D20" s="470"/>
      <c r="E20" s="471">
        <f t="shared" si="0"/>
        <v>0</v>
      </c>
      <c r="F20" s="472">
        <f t="shared" si="1"/>
        <v>0</v>
      </c>
      <c r="G20" s="472">
        <f t="shared" si="2"/>
        <v>0</v>
      </c>
    </row>
    <row r="21" spans="1:7" ht="19.899999999999999" customHeight="1">
      <c r="A21" s="505"/>
      <c r="B21" s="466"/>
      <c r="C21" s="469"/>
      <c r="D21" s="470"/>
      <c r="E21" s="471">
        <f t="shared" ref="E21" si="3">IFERROR(VLOOKUP(C21,T_Equipos,4,FALSE),0)</f>
        <v>0</v>
      </c>
      <c r="F21" s="472">
        <f t="shared" ref="F21" si="4">IFERROR(VLOOKUP(C21,T_Equipos,5,FALSE),0)</f>
        <v>0</v>
      </c>
      <c r="G21" s="472">
        <f t="shared" si="2"/>
        <v>0</v>
      </c>
    </row>
    <row r="22" spans="1:7" ht="19.899999999999999" customHeight="1">
      <c r="A22" s="505"/>
      <c r="B22" s="466"/>
      <c r="C22" s="163"/>
      <c r="D22" s="163"/>
      <c r="E22" s="473"/>
      <c r="F22" s="458"/>
      <c r="G22" s="507"/>
    </row>
    <row r="23" spans="1:7" ht="19.899999999999999" customHeight="1">
      <c r="A23" s="505"/>
      <c r="B23" s="163"/>
      <c r="C23" s="455" t="s">
        <v>1003</v>
      </c>
      <c r="D23" s="458" t="s">
        <v>1000</v>
      </c>
      <c r="E23" s="604">
        <f>SUMPRODUCT(D12:D21,E12:E21)</f>
        <v>0</v>
      </c>
      <c r="F23" s="458" t="s">
        <v>1004</v>
      </c>
      <c r="G23" s="525">
        <f>SUM(G12:G21)</f>
        <v>0</v>
      </c>
    </row>
    <row r="24" spans="1:7" ht="19.899999999999999" customHeight="1">
      <c r="A24" s="505"/>
      <c r="B24" s="466"/>
      <c r="C24" s="474"/>
      <c r="D24" s="473"/>
      <c r="E24" s="460"/>
      <c r="F24" s="458"/>
      <c r="G24" s="511"/>
    </row>
    <row r="25" spans="1:7" ht="19.899999999999999" customHeight="1">
      <c r="A25" s="512"/>
      <c r="B25" s="466"/>
      <c r="C25" s="458" t="s">
        <v>1005</v>
      </c>
      <c r="D25" s="475"/>
      <c r="E25" s="476" t="str">
        <f ca="1">G7&amp;"/día"</f>
        <v>gl./día</v>
      </c>
      <c r="F25" s="452"/>
      <c r="G25" s="507"/>
    </row>
    <row r="26" spans="1:7" ht="19.899999999999999" customHeight="1">
      <c r="A26" s="505"/>
      <c r="B26" s="466"/>
      <c r="C26" s="163"/>
      <c r="D26" s="459"/>
      <c r="E26" s="460"/>
      <c r="F26" s="458"/>
      <c r="G26" s="507"/>
    </row>
    <row r="27" spans="1:7" ht="19.899999999999999" customHeight="1">
      <c r="A27" s="677" t="s">
        <v>575</v>
      </c>
      <c r="B27" s="678"/>
      <c r="C27" s="679" t="s">
        <v>0</v>
      </c>
      <c r="D27" s="691" t="s">
        <v>1864</v>
      </c>
      <c r="E27" s="691" t="s">
        <v>1863</v>
      </c>
      <c r="F27" s="683" t="s">
        <v>1006</v>
      </c>
      <c r="G27" s="685" t="s">
        <v>25</v>
      </c>
    </row>
    <row r="28" spans="1:7" ht="19.899999999999999" customHeight="1">
      <c r="A28" s="477" t="s">
        <v>576</v>
      </c>
      <c r="B28" s="477" t="s">
        <v>577</v>
      </c>
      <c r="C28" s="680"/>
      <c r="D28" s="692"/>
      <c r="E28" s="682"/>
      <c r="F28" s="684"/>
      <c r="G28" s="686"/>
    </row>
    <row r="29" spans="1:7" ht="19.899999999999999" customHeight="1">
      <c r="A29" s="513"/>
      <c r="B29" s="163"/>
      <c r="C29" s="455" t="s">
        <v>1007</v>
      </c>
      <c r="D29" s="460"/>
      <c r="E29" s="460"/>
      <c r="F29" s="163"/>
      <c r="G29" s="514"/>
    </row>
    <row r="30" spans="1:7" ht="19.899999999999999" customHeight="1">
      <c r="A30" s="515">
        <f t="shared" ref="A30:A38" si="5">IFERROR(VLOOKUP(C30,T_Insumos,4,FALSE),0)</f>
        <v>0</v>
      </c>
      <c r="B30" s="478">
        <f t="shared" ref="B30:B38" si="6">IFERROR(VLOOKUP(C30,T_Insumos,5,FALSE),0)</f>
        <v>0</v>
      </c>
      <c r="C30" s="469"/>
      <c r="D30" s="479">
        <f t="shared" ref="D30:D37" si="7">IFERROR(VLOOKUP(C30,T_Insumos,3,FALSE),0)</f>
        <v>0</v>
      </c>
      <c r="E30" s="472">
        <f>D30*$G$23</f>
        <v>0</v>
      </c>
      <c r="F30" s="475">
        <f>$D$25</f>
        <v>0</v>
      </c>
      <c r="G30" s="472">
        <f>IFERROR(ROUND(E30/F30,2),0)</f>
        <v>0</v>
      </c>
    </row>
    <row r="31" spans="1:7" ht="19.899999999999999" customHeight="1">
      <c r="A31" s="515"/>
      <c r="B31" s="478"/>
      <c r="C31" s="469"/>
      <c r="D31" s="479">
        <f t="shared" si="7"/>
        <v>0</v>
      </c>
      <c r="E31" s="472">
        <f>D31*$G$23</f>
        <v>0</v>
      </c>
      <c r="F31" s="475">
        <f t="shared" ref="F31:F33" si="8">$D$25</f>
        <v>0</v>
      </c>
      <c r="G31" s="472">
        <f t="shared" ref="G31:G38" si="9">IFERROR(ROUND(E31/F31,2),0)</f>
        <v>0</v>
      </c>
    </row>
    <row r="32" spans="1:7" ht="19.899999999999999" customHeight="1">
      <c r="A32" s="515">
        <f t="shared" si="5"/>
        <v>0</v>
      </c>
      <c r="B32" s="478">
        <f t="shared" si="6"/>
        <v>0</v>
      </c>
      <c r="C32" s="480"/>
      <c r="D32" s="479">
        <f t="shared" si="7"/>
        <v>0</v>
      </c>
      <c r="E32" s="472">
        <f>D32*$E$23</f>
        <v>0</v>
      </c>
      <c r="F32" s="475">
        <f t="shared" si="8"/>
        <v>0</v>
      </c>
      <c r="G32" s="472">
        <f t="shared" si="9"/>
        <v>0</v>
      </c>
    </row>
    <row r="33" spans="1:7" ht="19.899999999999999" customHeight="1">
      <c r="A33" s="515">
        <f t="shared" si="5"/>
        <v>0</v>
      </c>
      <c r="B33" s="478">
        <f t="shared" si="6"/>
        <v>0</v>
      </c>
      <c r="C33" s="480"/>
      <c r="D33" s="479">
        <f t="shared" si="7"/>
        <v>0</v>
      </c>
      <c r="E33" s="472">
        <f>D33*$E$23</f>
        <v>0</v>
      </c>
      <c r="F33" s="475">
        <f t="shared" si="8"/>
        <v>0</v>
      </c>
      <c r="G33" s="472">
        <f t="shared" si="9"/>
        <v>0</v>
      </c>
    </row>
    <row r="34" spans="1:7" ht="19.899999999999999" customHeight="1">
      <c r="A34" s="515">
        <f t="shared" si="5"/>
        <v>0</v>
      </c>
      <c r="B34" s="478">
        <f t="shared" si="6"/>
        <v>0</v>
      </c>
      <c r="C34" s="480"/>
      <c r="D34" s="479">
        <f t="shared" si="7"/>
        <v>0</v>
      </c>
      <c r="E34" s="472"/>
      <c r="F34" s="475">
        <f>IF(C34="",0,IFERROR(VLOOKUP(COUNTIF($A$1:A34,"ANALISIS DE PRECIOS"),T_Rendimiento_Equipo,5,FALSE),0))</f>
        <v>0</v>
      </c>
      <c r="G34" s="472">
        <f t="shared" si="9"/>
        <v>0</v>
      </c>
    </row>
    <row r="35" spans="1:7" ht="19.899999999999999" customHeight="1">
      <c r="A35" s="515">
        <f t="shared" si="5"/>
        <v>0</v>
      </c>
      <c r="B35" s="478">
        <f t="shared" si="6"/>
        <v>0</v>
      </c>
      <c r="C35" s="480"/>
      <c r="D35" s="479">
        <f t="shared" si="7"/>
        <v>0</v>
      </c>
      <c r="E35" s="472"/>
      <c r="F35" s="475">
        <f>IF(C35="",0,IFERROR(VLOOKUP(COUNTIF($A$1:A35,"ANALISIS DE PRECIOS"),T_Rendimiento_Equipo,5,FALSE),0))</f>
        <v>0</v>
      </c>
      <c r="G35" s="472">
        <f t="shared" si="9"/>
        <v>0</v>
      </c>
    </row>
    <row r="36" spans="1:7" ht="19.899999999999999" customHeight="1">
      <c r="A36" s="515">
        <f t="shared" si="5"/>
        <v>0</v>
      </c>
      <c r="B36" s="478">
        <f t="shared" si="6"/>
        <v>0</v>
      </c>
      <c r="C36" s="480"/>
      <c r="D36" s="479">
        <f t="shared" si="7"/>
        <v>0</v>
      </c>
      <c r="E36" s="472"/>
      <c r="F36" s="475">
        <f>IF(C36="",0,IFERROR(VLOOKUP(COUNTIF($A$1:A36,"ANALISIS DE PRECIOS"),T_Rendimiento_Equipo,5,FALSE),0))</f>
        <v>0</v>
      </c>
      <c r="G36" s="472">
        <f t="shared" si="9"/>
        <v>0</v>
      </c>
    </row>
    <row r="37" spans="1:7" ht="19.899999999999999" customHeight="1">
      <c r="A37" s="515">
        <f t="shared" si="5"/>
        <v>0</v>
      </c>
      <c r="B37" s="478">
        <f t="shared" si="6"/>
        <v>0</v>
      </c>
      <c r="C37" s="480"/>
      <c r="D37" s="479">
        <f t="shared" si="7"/>
        <v>0</v>
      </c>
      <c r="E37" s="472"/>
      <c r="F37" s="475">
        <f>IF(C37="",0,IFERROR(VLOOKUP(COUNTIF($A$1:A37,"ANALISIS DE PRECIOS"),T_Rendimiento_Equipo,5,FALSE),0))</f>
        <v>0</v>
      </c>
      <c r="G37" s="472">
        <f t="shared" si="9"/>
        <v>0</v>
      </c>
    </row>
    <row r="38" spans="1:7" ht="19.899999999999999" customHeight="1">
      <c r="A38" s="515">
        <f t="shared" si="5"/>
        <v>0</v>
      </c>
      <c r="B38" s="478">
        <f t="shared" si="6"/>
        <v>0</v>
      </c>
      <c r="C38" s="469"/>
      <c r="D38" s="479">
        <f t="shared" ref="D38" si="10">IFERROR(VLOOKUP(C38,T_Insumos,3,FALSE),0)</f>
        <v>0</v>
      </c>
      <c r="E38" s="472"/>
      <c r="F38" s="475">
        <f>IF(C38="",0,IFERROR(VLOOKUP(COUNTIF($A$1:A38,"ANALISIS DE PRECIOS"),T_Rendimiento_Equipo,5,FALSE),0))</f>
        <v>0</v>
      </c>
      <c r="G38" s="472">
        <f t="shared" si="9"/>
        <v>0</v>
      </c>
    </row>
    <row r="39" spans="1:7" ht="19.899999999999999" customHeight="1">
      <c r="A39" s="516"/>
      <c r="B39" s="459"/>
      <c r="C39" s="163"/>
      <c r="D39" s="459"/>
      <c r="E39" s="460"/>
      <c r="F39" s="481" t="s">
        <v>26</v>
      </c>
      <c r="G39" s="517">
        <f>SUBTOTAL(9,G30:G38)</f>
        <v>0</v>
      </c>
    </row>
    <row r="40" spans="1:7" ht="19.899999999999999" customHeight="1">
      <c r="A40" s="513"/>
      <c r="B40" s="163"/>
      <c r="C40" s="455" t="s">
        <v>712</v>
      </c>
      <c r="D40" s="459"/>
      <c r="E40" s="460"/>
      <c r="F40" s="461"/>
      <c r="G40" s="514"/>
    </row>
    <row r="41" spans="1:7" ht="19.899999999999999" customHeight="1">
      <c r="A41" s="677" t="s">
        <v>575</v>
      </c>
      <c r="B41" s="678"/>
      <c r="C41" s="679" t="s">
        <v>0</v>
      </c>
      <c r="D41" s="681" t="s">
        <v>23</v>
      </c>
      <c r="E41" s="681" t="s">
        <v>1830</v>
      </c>
      <c r="F41" s="683" t="s">
        <v>1006</v>
      </c>
      <c r="G41" s="685" t="s">
        <v>25</v>
      </c>
    </row>
    <row r="42" spans="1:7" ht="19.899999999999999" customHeight="1">
      <c r="A42" s="477" t="s">
        <v>576</v>
      </c>
      <c r="B42" s="477" t="s">
        <v>577</v>
      </c>
      <c r="C42" s="680"/>
      <c r="D42" s="682"/>
      <c r="E42" s="682"/>
      <c r="F42" s="684"/>
      <c r="G42" s="686"/>
    </row>
    <row r="43" spans="1:7" ht="19.899999999999999" customHeight="1">
      <c r="A43" s="515"/>
      <c r="B43" s="478"/>
      <c r="C43" s="482"/>
      <c r="D43" s="475"/>
      <c r="E43" s="472"/>
      <c r="F43" s="475">
        <f>$D$25</f>
        <v>0</v>
      </c>
      <c r="G43" s="472">
        <f>IFERROR(ROUND(D43*E43/F43,2),0)</f>
        <v>0</v>
      </c>
    </row>
    <row r="44" spans="1:7" ht="19.899999999999999" customHeight="1">
      <c r="A44" s="515"/>
      <c r="B44" s="478"/>
      <c r="C44" s="469"/>
      <c r="D44" s="475"/>
      <c r="E44" s="472"/>
      <c r="F44" s="475">
        <f t="shared" ref="F44:F48" si="11">$D$25</f>
        <v>0</v>
      </c>
      <c r="G44" s="472">
        <f t="shared" ref="G44:G49" si="12">IFERROR(ROUND(D44*E44/F44,2),0)</f>
        <v>0</v>
      </c>
    </row>
    <row r="45" spans="1:7" ht="19.899999999999999" customHeight="1">
      <c r="A45" s="515"/>
      <c r="B45" s="478"/>
      <c r="C45" s="469"/>
      <c r="D45" s="475"/>
      <c r="E45" s="472"/>
      <c r="F45" s="475">
        <f t="shared" si="11"/>
        <v>0</v>
      </c>
      <c r="G45" s="472">
        <f t="shared" si="12"/>
        <v>0</v>
      </c>
    </row>
    <row r="46" spans="1:7" ht="19.899999999999999" customHeight="1">
      <c r="A46" s="515"/>
      <c r="B46" s="478"/>
      <c r="C46" s="469"/>
      <c r="D46" s="475"/>
      <c r="E46" s="472"/>
      <c r="F46" s="475">
        <f t="shared" si="11"/>
        <v>0</v>
      </c>
      <c r="G46" s="472">
        <f t="shared" si="12"/>
        <v>0</v>
      </c>
    </row>
    <row r="47" spans="1:7" ht="19.899999999999999" customHeight="1">
      <c r="A47" s="515">
        <f t="shared" ref="A47:A49" si="13">IFERROR(VLOOKUP(C47,T_Insumos,4,FALSE),0)</f>
        <v>0</v>
      </c>
      <c r="B47" s="478">
        <f t="shared" ref="B47:B49" si="14">IFERROR(VLOOKUP(C47,T_Insumos,5,FALSE),0)</f>
        <v>0</v>
      </c>
      <c r="C47" s="469"/>
      <c r="D47" s="475"/>
      <c r="E47" s="472">
        <f t="shared" ref="E47:E49" si="15">IFERROR(VLOOKUP(C47,T_Insumos,3,FALSE),0)</f>
        <v>0</v>
      </c>
      <c r="F47" s="475">
        <f>IF(C47="",0,IFERROR(VLOOKUP(COUNTIF($A$1:A47,"ANALISIS DE PRECIOS"),T_Rendimiento_Equipo,5,FALSE),0))</f>
        <v>0</v>
      </c>
      <c r="G47" s="472">
        <f t="shared" si="12"/>
        <v>0</v>
      </c>
    </row>
    <row r="48" spans="1:7" ht="19.899999999999999" customHeight="1">
      <c r="A48" s="515">
        <f t="shared" si="13"/>
        <v>0</v>
      </c>
      <c r="B48" s="478">
        <f t="shared" si="14"/>
        <v>0</v>
      </c>
      <c r="C48" s="469"/>
      <c r="D48" s="483"/>
      <c r="E48" s="472">
        <f>SUMPRODUCT(D43:D46,E43:E46)</f>
        <v>0</v>
      </c>
      <c r="F48" s="475">
        <f t="shared" si="11"/>
        <v>0</v>
      </c>
      <c r="G48" s="472">
        <f t="shared" si="12"/>
        <v>0</v>
      </c>
    </row>
    <row r="49" spans="1:12" ht="19.899999999999999" customHeight="1">
      <c r="A49" s="515">
        <f t="shared" si="13"/>
        <v>0</v>
      </c>
      <c r="B49" s="478">
        <f t="shared" si="14"/>
        <v>0</v>
      </c>
      <c r="C49" s="478"/>
      <c r="D49" s="484"/>
      <c r="E49" s="472">
        <f t="shared" si="15"/>
        <v>0</v>
      </c>
      <c r="F49" s="475">
        <f>IF(C49="",0,IFERROR(VLOOKUP(COUNTIF($A$1:A49,"ANALISIS DE PRECIOS"),T_Rendimiento_Equipo,5,FALSE),0))</f>
        <v>0</v>
      </c>
      <c r="G49" s="472">
        <f t="shared" si="12"/>
        <v>0</v>
      </c>
    </row>
    <row r="50" spans="1:12" ht="19.899999999999999" customHeight="1">
      <c r="A50" s="516"/>
      <c r="B50" s="459"/>
      <c r="C50" s="163"/>
      <c r="D50" s="459"/>
      <c r="E50" s="460">
        <f>SUM(E43:E49)</f>
        <v>0</v>
      </c>
      <c r="F50" s="481" t="s">
        <v>27</v>
      </c>
      <c r="G50" s="518">
        <f>SUBTOTAL(9,G43:G49)</f>
        <v>0</v>
      </c>
    </row>
    <row r="51" spans="1:12" ht="19.899999999999999" customHeight="1">
      <c r="A51" s="513"/>
      <c r="B51" s="163"/>
      <c r="C51" s="455" t="s">
        <v>1013</v>
      </c>
      <c r="D51" s="459"/>
      <c r="E51" s="460"/>
      <c r="F51" s="461"/>
      <c r="G51" s="514"/>
    </row>
    <row r="52" spans="1:12" ht="19.899999999999999" customHeight="1">
      <c r="A52" s="677" t="s">
        <v>575</v>
      </c>
      <c r="B52" s="678"/>
      <c r="C52" s="679" t="s">
        <v>0</v>
      </c>
      <c r="D52" s="679" t="s">
        <v>1865</v>
      </c>
      <c r="E52" s="681" t="s">
        <v>23</v>
      </c>
      <c r="F52" s="683" t="s">
        <v>24</v>
      </c>
      <c r="G52" s="685" t="s">
        <v>25</v>
      </c>
    </row>
    <row r="53" spans="1:12" ht="19.899999999999999" customHeight="1">
      <c r="A53" s="477" t="s">
        <v>576</v>
      </c>
      <c r="B53" s="477" t="s">
        <v>577</v>
      </c>
      <c r="C53" s="680"/>
      <c r="D53" s="680"/>
      <c r="E53" s="682"/>
      <c r="F53" s="684"/>
      <c r="G53" s="686"/>
    </row>
    <row r="54" spans="1:12" ht="19.899999999999999" customHeight="1">
      <c r="A54" s="515">
        <f t="shared" ref="A54:A64" si="16">IFERROR(VLOOKUP(C54,T_Insumos,4,FALSE),0)</f>
        <v>0</v>
      </c>
      <c r="B54" s="478">
        <f t="shared" ref="B54:B64" si="17">IFERROR(VLOOKUP(C54,T_Insumos,5,FALSE),0)</f>
        <v>0</v>
      </c>
      <c r="C54" s="478"/>
      <c r="D54" s="526">
        <f t="shared" ref="D54:D64" si="18">IFERROR(VLOOKUP(C54,T_Insumos,2,FALSE),0)</f>
        <v>0</v>
      </c>
      <c r="E54" s="470"/>
      <c r="F54" s="472">
        <f t="shared" ref="F54:F64" si="19">IFERROR(VLOOKUP(C54,T_Insumos,3,FALSE),0)</f>
        <v>0</v>
      </c>
      <c r="G54" s="472">
        <f>ROUND(E54*F54,2)</f>
        <v>0</v>
      </c>
      <c r="I54" s="452" t="s">
        <v>2079</v>
      </c>
      <c r="J54" s="452" t="s">
        <v>2081</v>
      </c>
      <c r="K54" s="452">
        <v>0.4</v>
      </c>
      <c r="L54" s="452">
        <v>3.8640000000000003</v>
      </c>
    </row>
    <row r="55" spans="1:12" s="485" customFormat="1" ht="19.899999999999999" customHeight="1">
      <c r="A55" s="515">
        <f t="shared" si="16"/>
        <v>0</v>
      </c>
      <c r="B55" s="478">
        <f t="shared" si="17"/>
        <v>0</v>
      </c>
      <c r="C55" s="478"/>
      <c r="D55" s="526">
        <f t="shared" si="18"/>
        <v>0</v>
      </c>
      <c r="E55" s="470"/>
      <c r="F55" s="472">
        <f t="shared" si="19"/>
        <v>0</v>
      </c>
      <c r="G55" s="472">
        <f t="shared" ref="G55:G64" si="20">ROUND(E55*F55,2)</f>
        <v>0</v>
      </c>
      <c r="I55" s="485" t="s">
        <v>2080</v>
      </c>
      <c r="J55" s="485" t="s">
        <v>2077</v>
      </c>
      <c r="K55" s="485">
        <v>0.04</v>
      </c>
      <c r="L55" s="485">
        <v>29.043000000000003</v>
      </c>
    </row>
    <row r="56" spans="1:12" ht="19.899999999999999" customHeight="1">
      <c r="A56" s="515">
        <f t="shared" si="16"/>
        <v>0</v>
      </c>
      <c r="B56" s="478">
        <f t="shared" si="17"/>
        <v>0</v>
      </c>
      <c r="C56" s="478"/>
      <c r="D56" s="526">
        <f t="shared" si="18"/>
        <v>0</v>
      </c>
      <c r="E56" s="470"/>
      <c r="F56" s="472">
        <f t="shared" si="19"/>
        <v>0</v>
      </c>
      <c r="G56" s="472">
        <f t="shared" si="20"/>
        <v>0</v>
      </c>
    </row>
    <row r="57" spans="1:12" ht="19.899999999999999" customHeight="1">
      <c r="A57" s="515">
        <f t="shared" si="16"/>
        <v>0</v>
      </c>
      <c r="B57" s="478">
        <f t="shared" si="17"/>
        <v>0</v>
      </c>
      <c r="C57" s="478"/>
      <c r="D57" s="526">
        <f t="shared" si="18"/>
        <v>0</v>
      </c>
      <c r="E57" s="470"/>
      <c r="F57" s="472">
        <f t="shared" si="19"/>
        <v>0</v>
      </c>
      <c r="G57" s="472">
        <f t="shared" si="20"/>
        <v>0</v>
      </c>
    </row>
    <row r="58" spans="1:12" ht="19.899999999999999" customHeight="1">
      <c r="A58" s="515">
        <f t="shared" si="16"/>
        <v>0</v>
      </c>
      <c r="B58" s="478">
        <f t="shared" si="17"/>
        <v>0</v>
      </c>
      <c r="C58" s="478"/>
      <c r="D58" s="526">
        <f t="shared" si="18"/>
        <v>0</v>
      </c>
      <c r="E58" s="470"/>
      <c r="F58" s="472">
        <f t="shared" si="19"/>
        <v>0</v>
      </c>
      <c r="G58" s="472">
        <f t="shared" si="20"/>
        <v>0</v>
      </c>
    </row>
    <row r="59" spans="1:12" ht="19.899999999999999" customHeight="1">
      <c r="A59" s="515">
        <f t="shared" si="16"/>
        <v>0</v>
      </c>
      <c r="B59" s="478">
        <f t="shared" si="17"/>
        <v>0</v>
      </c>
      <c r="C59" s="478"/>
      <c r="D59" s="526">
        <f t="shared" si="18"/>
        <v>0</v>
      </c>
      <c r="E59" s="470"/>
      <c r="F59" s="472">
        <f t="shared" si="19"/>
        <v>0</v>
      </c>
      <c r="G59" s="472">
        <f t="shared" si="20"/>
        <v>0</v>
      </c>
    </row>
    <row r="60" spans="1:12" ht="19.899999999999999" customHeight="1">
      <c r="A60" s="515">
        <f t="shared" si="16"/>
        <v>0</v>
      </c>
      <c r="B60" s="478">
        <f t="shared" si="17"/>
        <v>0</v>
      </c>
      <c r="C60" s="478"/>
      <c r="D60" s="526">
        <f t="shared" si="18"/>
        <v>0</v>
      </c>
      <c r="E60" s="470"/>
      <c r="F60" s="472">
        <f t="shared" si="19"/>
        <v>0</v>
      </c>
      <c r="G60" s="472">
        <f t="shared" si="20"/>
        <v>0</v>
      </c>
    </row>
    <row r="61" spans="1:12" ht="19.899999999999999" customHeight="1">
      <c r="A61" s="515">
        <f t="shared" si="16"/>
        <v>0</v>
      </c>
      <c r="B61" s="478">
        <f t="shared" si="17"/>
        <v>0</v>
      </c>
      <c r="C61" s="478"/>
      <c r="D61" s="526">
        <f t="shared" si="18"/>
        <v>0</v>
      </c>
      <c r="E61" s="470"/>
      <c r="F61" s="472">
        <f t="shared" si="19"/>
        <v>0</v>
      </c>
      <c r="G61" s="472">
        <f t="shared" si="20"/>
        <v>0</v>
      </c>
    </row>
    <row r="62" spans="1:12" ht="19.899999999999999" customHeight="1">
      <c r="A62" s="515">
        <f t="shared" si="16"/>
        <v>0</v>
      </c>
      <c r="B62" s="478">
        <f t="shared" si="17"/>
        <v>0</v>
      </c>
      <c r="C62" s="478"/>
      <c r="D62" s="526">
        <f t="shared" si="18"/>
        <v>0</v>
      </c>
      <c r="E62" s="470"/>
      <c r="F62" s="472">
        <f t="shared" si="19"/>
        <v>0</v>
      </c>
      <c r="G62" s="472">
        <f t="shared" si="20"/>
        <v>0</v>
      </c>
    </row>
    <row r="63" spans="1:12" ht="19.899999999999999" customHeight="1">
      <c r="A63" s="515">
        <f t="shared" si="16"/>
        <v>0</v>
      </c>
      <c r="B63" s="478">
        <f t="shared" si="17"/>
        <v>0</v>
      </c>
      <c r="C63" s="478"/>
      <c r="D63" s="526">
        <f t="shared" si="18"/>
        <v>0</v>
      </c>
      <c r="E63" s="470"/>
      <c r="F63" s="472">
        <f t="shared" si="19"/>
        <v>0</v>
      </c>
      <c r="G63" s="472">
        <f t="shared" si="20"/>
        <v>0</v>
      </c>
    </row>
    <row r="64" spans="1:12" ht="19.899999999999999" customHeight="1">
      <c r="A64" s="515">
        <f t="shared" si="16"/>
        <v>0</v>
      </c>
      <c r="B64" s="478">
        <f t="shared" si="17"/>
        <v>0</v>
      </c>
      <c r="C64" s="478"/>
      <c r="D64" s="526">
        <f t="shared" si="18"/>
        <v>0</v>
      </c>
      <c r="E64" s="470"/>
      <c r="F64" s="472">
        <f t="shared" si="19"/>
        <v>0</v>
      </c>
      <c r="G64" s="472">
        <f t="shared" si="20"/>
        <v>0</v>
      </c>
    </row>
    <row r="65" spans="1:8" ht="19.899999999999999" customHeight="1">
      <c r="A65" s="513"/>
      <c r="B65" s="163"/>
      <c r="C65" s="163"/>
      <c r="D65" s="459"/>
      <c r="E65" s="460"/>
      <c r="F65" s="481" t="s">
        <v>28</v>
      </c>
      <c r="G65" s="518">
        <f>SUBTOTAL(9,G54:G64)</f>
        <v>0</v>
      </c>
    </row>
    <row r="66" spans="1:8" ht="19.899999999999999" customHeight="1">
      <c r="A66" s="513"/>
      <c r="B66" s="163"/>
      <c r="C66" s="455" t="s">
        <v>1014</v>
      </c>
      <c r="D66" s="459"/>
      <c r="E66" s="460"/>
      <c r="F66" s="461"/>
      <c r="G66" s="514"/>
    </row>
    <row r="67" spans="1:8" ht="19.899999999999999" customHeight="1">
      <c r="A67" s="677" t="s">
        <v>575</v>
      </c>
      <c r="B67" s="678"/>
      <c r="C67" s="679" t="s">
        <v>0</v>
      </c>
      <c r="D67" s="679" t="s">
        <v>1865</v>
      </c>
      <c r="E67" s="681" t="s">
        <v>23</v>
      </c>
      <c r="F67" s="683" t="s">
        <v>24</v>
      </c>
      <c r="G67" s="685" t="s">
        <v>25</v>
      </c>
    </row>
    <row r="68" spans="1:8" ht="19.899999999999999" customHeight="1">
      <c r="A68" s="477" t="s">
        <v>576</v>
      </c>
      <c r="B68" s="477" t="s">
        <v>577</v>
      </c>
      <c r="C68" s="680"/>
      <c r="D68" s="680"/>
      <c r="E68" s="682"/>
      <c r="F68" s="684"/>
      <c r="G68" s="686"/>
    </row>
    <row r="69" spans="1:8" ht="19.899999999999999" customHeight="1">
      <c r="A69" s="515">
        <f>IFERROR(VLOOKUP(C69,T_Insumos,4,FALSE),0)</f>
        <v>0</v>
      </c>
      <c r="B69" s="478">
        <f>IFERROR(VLOOKUP(C69,T_Insumos,5,FALSE),0)</f>
        <v>0</v>
      </c>
      <c r="C69" s="469"/>
      <c r="D69" s="526">
        <f>IF(C69=0,0,"$/tnkm")</f>
        <v>0</v>
      </c>
      <c r="E69" s="470"/>
      <c r="F69" s="472">
        <f>IFERROR(VLOOKUP(C69,T_Insumos,3,FALSE),0)</f>
        <v>0</v>
      </c>
      <c r="G69" s="472">
        <f>ROUND(E69*F69,2)</f>
        <v>0</v>
      </c>
    </row>
    <row r="70" spans="1:8" ht="19.899999999999999" customHeight="1">
      <c r="A70" s="515">
        <f>IFERROR(VLOOKUP(C70,T_Insumos,4,FALSE),0)</f>
        <v>0</v>
      </c>
      <c r="B70" s="478">
        <f>IFERROR(VLOOKUP(C70,T_Insumos,5,FALSE),0)</f>
        <v>0</v>
      </c>
      <c r="C70" s="469"/>
      <c r="D70" s="526">
        <f>IF(C70=0,0,"$/tnkm")</f>
        <v>0</v>
      </c>
      <c r="E70" s="486"/>
      <c r="F70" s="472">
        <f>IFERROR(VLOOKUP(C70,T_Insumos,3,FALSE),0)</f>
        <v>0</v>
      </c>
      <c r="G70" s="472">
        <f t="shared" ref="G70" si="21">ROUND(E70*F70,2)</f>
        <v>0</v>
      </c>
    </row>
    <row r="71" spans="1:8" ht="19.899999999999999" customHeight="1">
      <c r="A71" s="513"/>
      <c r="B71" s="163"/>
      <c r="C71" s="163"/>
      <c r="D71" s="459"/>
      <c r="E71" s="460"/>
      <c r="F71" s="481" t="s">
        <v>1015</v>
      </c>
      <c r="G71" s="518">
        <f>SUBTOTAL(9,G69:G70)</f>
        <v>0</v>
      </c>
      <c r="H71" s="60"/>
    </row>
    <row r="72" spans="1:8" ht="19.899999999999999" customHeight="1">
      <c r="A72" s="516"/>
      <c r="B72" s="459"/>
      <c r="C72" s="163"/>
      <c r="D72" s="459"/>
      <c r="E72" s="460"/>
      <c r="F72" s="461"/>
      <c r="G72" s="514"/>
      <c r="H72" s="60"/>
    </row>
    <row r="73" spans="1:8" ht="19.899999999999999" customHeight="1">
      <c r="A73" s="574">
        <f>B7</f>
        <v>1</v>
      </c>
      <c r="B73" s="571" t="str">
        <f ca="1">C7</f>
        <v>PROYECTO EJECUTIVO</v>
      </c>
      <c r="C73" s="459"/>
      <c r="D73" s="459" t="s">
        <v>1831</v>
      </c>
      <c r="E73" s="572"/>
      <c r="F73" s="573" t="str">
        <f ca="1">"$/"&amp;G7</f>
        <v>$/gl.</v>
      </c>
      <c r="G73" s="523">
        <f>SUBTOTAL(9,G30:G72)</f>
        <v>0</v>
      </c>
      <c r="H73" s="60"/>
    </row>
    <row r="74" spans="1:8" ht="19.899999999999999" customHeight="1">
      <c r="A74" s="519"/>
      <c r="B74" s="520"/>
      <c r="C74" s="521"/>
      <c r="D74" s="521" t="s">
        <v>2041</v>
      </c>
      <c r="E74" s="522"/>
      <c r="F74" s="575" t="str">
        <f ca="1">"$/"&amp;G7</f>
        <v>$/gl.</v>
      </c>
      <c r="G74" s="523">
        <f>ROUND(G73*Coeficiente_Paso,2)</f>
        <v>0</v>
      </c>
      <c r="H74" s="60"/>
    </row>
    <row r="75" spans="1:8" ht="19.899999999999999" customHeight="1">
      <c r="A75" s="163"/>
      <c r="B75" s="163"/>
      <c r="C75" s="163"/>
      <c r="D75" s="163"/>
      <c r="E75" s="163"/>
      <c r="F75" s="163"/>
      <c r="G75" s="163"/>
      <c r="H75" s="60"/>
    </row>
    <row r="76" spans="1:8" ht="19.899999999999999" customHeight="1">
      <c r="A76" s="687" t="s">
        <v>30</v>
      </c>
      <c r="B76" s="688"/>
      <c r="C76" s="688"/>
      <c r="D76" s="688"/>
      <c r="E76" s="688"/>
      <c r="F76" s="688"/>
      <c r="G76" s="689"/>
    </row>
    <row r="77" spans="1:8" ht="19.899999999999999" customHeight="1">
      <c r="A77" s="502" t="s">
        <v>710</v>
      </c>
      <c r="B77" s="453" t="str">
        <f>Comitente</f>
        <v>DEPARTAMENTO DE HIDRAULICA</v>
      </c>
      <c r="C77" s="454"/>
      <c r="D77" s="455"/>
      <c r="E77" s="455"/>
      <c r="F77" s="456"/>
      <c r="G77" s="503"/>
    </row>
    <row r="78" spans="1:8" ht="19.899999999999999" customHeight="1">
      <c r="A78" s="502" t="s">
        <v>711</v>
      </c>
      <c r="B78" s="453">
        <f>Contratista</f>
        <v>0</v>
      </c>
      <c r="C78" s="457"/>
      <c r="D78" s="457"/>
      <c r="E78" s="457"/>
      <c r="F78" s="453"/>
      <c r="G78" s="504"/>
    </row>
    <row r="79" spans="1:8" ht="19.899999999999999" customHeight="1">
      <c r="A79" s="502" t="s">
        <v>20</v>
      </c>
      <c r="B79" s="453" t="str">
        <f>Obra</f>
        <v>MEJORA DE LA RED DE RIEGO DEL VALLE DE JÁCHAL</v>
      </c>
      <c r="C79" s="457"/>
      <c r="D79" s="457"/>
      <c r="E79" s="457"/>
      <c r="F79" s="453" t="s">
        <v>31</v>
      </c>
      <c r="G79" s="504" t="str">
        <f>Fecha_Base</f>
        <v>XX/07/2020</v>
      </c>
    </row>
    <row r="80" spans="1:8" ht="19.899999999999999" customHeight="1">
      <c r="A80" s="505" t="s">
        <v>709</v>
      </c>
      <c r="B80" s="458" t="str">
        <f>Ubicación</f>
        <v>JACHAL</v>
      </c>
      <c r="C80" s="458"/>
      <c r="D80" s="459"/>
      <c r="E80" s="460"/>
      <c r="F80" s="461"/>
      <c r="G80" s="506"/>
    </row>
    <row r="81" spans="1:7" ht="19.899999999999999" customHeight="1">
      <c r="A81" s="505" t="s">
        <v>32</v>
      </c>
      <c r="B81" s="462">
        <f>IFERROR(VALUE(LEFT(B82,FIND(".",B82)-1)),"")</f>
        <v>2</v>
      </c>
      <c r="C81" s="163" t="str">
        <f ca="1">IFERROR(VLOOKUP(B81,T_Computo_Presupuesto,2,FALSE),0)</f>
        <v>TAREAS GENERALES</v>
      </c>
      <c r="D81" s="163"/>
      <c r="E81" s="460"/>
      <c r="F81" s="461"/>
      <c r="G81" s="506"/>
    </row>
    <row r="82" spans="1:7" ht="19.899999999999999" customHeight="1">
      <c r="A82" s="505" t="s">
        <v>21</v>
      </c>
      <c r="B82" s="463" t="str">
        <f>IFERROR(VLOOKUP(COUNTIF($A$1:A82,"ANALISIS DE PRECIOS"),T_NumeroItem,2,FALSE),"")</f>
        <v>2.1</v>
      </c>
      <c r="C82" s="690" t="str">
        <f ca="1">IFERROR(VLOOKUP(B82,T_Computo_Presupuesto,2,FALSE),0)</f>
        <v>Limpieza inicial y Relevamientos Topograficos</v>
      </c>
      <c r="D82" s="690"/>
      <c r="E82" s="690"/>
      <c r="F82" s="458" t="s">
        <v>22</v>
      </c>
      <c r="G82" s="507" t="str">
        <f ca="1">IFERROR(VLOOKUP(B82,T_Computo_Presupuesto,4,FALSE),0)</f>
        <v>gl.</v>
      </c>
    </row>
    <row r="83" spans="1:7" ht="19.899999999999999" customHeight="1">
      <c r="A83" s="505"/>
      <c r="B83" s="458"/>
      <c r="C83" s="163"/>
      <c r="D83" s="459"/>
      <c r="E83" s="460"/>
      <c r="F83" s="163"/>
      <c r="G83" s="508"/>
    </row>
    <row r="84" spans="1:7" ht="19.899999999999999" customHeight="1">
      <c r="A84" s="509"/>
      <c r="B84" s="464"/>
      <c r="C84" s="465" t="s">
        <v>998</v>
      </c>
      <c r="D84" s="464"/>
      <c r="E84" s="464"/>
      <c r="F84" s="464"/>
      <c r="G84" s="510"/>
    </row>
    <row r="85" spans="1:7" ht="19.899999999999999" customHeight="1">
      <c r="A85" s="505"/>
      <c r="B85" s="466"/>
      <c r="C85" s="163"/>
      <c r="D85" s="459"/>
      <c r="E85" s="460"/>
      <c r="F85" s="458"/>
      <c r="G85" s="507"/>
    </row>
    <row r="86" spans="1:7" ht="19.899999999999999" customHeight="1">
      <c r="A86" s="505"/>
      <c r="B86" s="466"/>
      <c r="C86" s="467" t="s">
        <v>999</v>
      </c>
      <c r="D86" s="468" t="s">
        <v>23</v>
      </c>
      <c r="E86" s="468" t="s">
        <v>1000</v>
      </c>
      <c r="F86" s="468" t="s">
        <v>1001</v>
      </c>
      <c r="G86" s="467" t="s">
        <v>1002</v>
      </c>
    </row>
    <row r="87" spans="1:7" ht="19.899999999999999" customHeight="1">
      <c r="A87" s="505"/>
      <c r="B87" s="466"/>
      <c r="C87" s="469"/>
      <c r="D87" s="470"/>
      <c r="E87" s="471">
        <f t="shared" ref="E87:E91" si="22">IFERROR(VLOOKUP(C87,T_Equipos,4,FALSE),0)</f>
        <v>0</v>
      </c>
      <c r="F87" s="472"/>
      <c r="G87" s="472">
        <f>ROUND(D87*F87,2)</f>
        <v>0</v>
      </c>
    </row>
    <row r="88" spans="1:7" ht="19.899999999999999" customHeight="1">
      <c r="A88" s="505"/>
      <c r="B88" s="466"/>
      <c r="C88" s="469"/>
      <c r="D88" s="470"/>
      <c r="E88" s="471">
        <f t="shared" si="22"/>
        <v>0</v>
      </c>
      <c r="F88" s="472"/>
      <c r="G88" s="472">
        <f>ROUND(D88*F88,2)</f>
        <v>0</v>
      </c>
    </row>
    <row r="89" spans="1:7" ht="19.899999999999999" customHeight="1">
      <c r="A89" s="505"/>
      <c r="B89" s="466"/>
      <c r="C89" s="469"/>
      <c r="D89" s="470"/>
      <c r="E89" s="471">
        <f t="shared" si="22"/>
        <v>0</v>
      </c>
      <c r="F89" s="472"/>
      <c r="G89" s="472">
        <f>ROUND(D89*F89,2)</f>
        <v>0</v>
      </c>
    </row>
    <row r="90" spans="1:7" ht="19.899999999999999" customHeight="1">
      <c r="A90" s="505"/>
      <c r="B90" s="466"/>
      <c r="C90" s="469"/>
      <c r="D90" s="470"/>
      <c r="E90" s="471">
        <f t="shared" si="22"/>
        <v>0</v>
      </c>
      <c r="F90" s="472"/>
      <c r="G90" s="472">
        <f>ROUND(D90*F90,2)</f>
        <v>0</v>
      </c>
    </row>
    <row r="91" spans="1:7" ht="19.899999999999999" customHeight="1">
      <c r="A91" s="505"/>
      <c r="B91" s="466"/>
      <c r="C91" s="469"/>
      <c r="D91" s="470"/>
      <c r="E91" s="471">
        <f t="shared" si="22"/>
        <v>0</v>
      </c>
      <c r="F91" s="472"/>
      <c r="G91" s="472">
        <f t="shared" ref="G91:G96" si="23">ROUND(D91*F91,2)</f>
        <v>0</v>
      </c>
    </row>
    <row r="92" spans="1:7" ht="19.899999999999999" customHeight="1">
      <c r="A92" s="505"/>
      <c r="B92" s="466"/>
      <c r="C92" s="469"/>
      <c r="D92" s="470"/>
      <c r="E92" s="471">
        <f t="shared" ref="E92:E96" si="24">IFERROR(VLOOKUP(C92,T_Equipos,4,FALSE),0)</f>
        <v>0</v>
      </c>
      <c r="F92" s="472">
        <f t="shared" ref="F92:F96" si="25">IFERROR(VLOOKUP(C92,T_Equipos,5,FALSE),0)</f>
        <v>0</v>
      </c>
      <c r="G92" s="472">
        <f t="shared" si="23"/>
        <v>0</v>
      </c>
    </row>
    <row r="93" spans="1:7" ht="19.899999999999999" customHeight="1">
      <c r="A93" s="505"/>
      <c r="B93" s="466"/>
      <c r="C93" s="469"/>
      <c r="D93" s="470"/>
      <c r="E93" s="471">
        <f t="shared" si="24"/>
        <v>0</v>
      </c>
      <c r="F93" s="472">
        <f t="shared" si="25"/>
        <v>0</v>
      </c>
      <c r="G93" s="472">
        <f t="shared" si="23"/>
        <v>0</v>
      </c>
    </row>
    <row r="94" spans="1:7" ht="19.899999999999999" customHeight="1">
      <c r="A94" s="505"/>
      <c r="B94" s="466"/>
      <c r="C94" s="469"/>
      <c r="D94" s="470"/>
      <c r="E94" s="471">
        <f t="shared" si="24"/>
        <v>0</v>
      </c>
      <c r="F94" s="472">
        <f t="shared" si="25"/>
        <v>0</v>
      </c>
      <c r="G94" s="472">
        <f t="shared" si="23"/>
        <v>0</v>
      </c>
    </row>
    <row r="95" spans="1:7" ht="19.899999999999999" customHeight="1">
      <c r="A95" s="505"/>
      <c r="B95" s="466"/>
      <c r="C95" s="469"/>
      <c r="D95" s="470"/>
      <c r="E95" s="471">
        <f t="shared" si="24"/>
        <v>0</v>
      </c>
      <c r="F95" s="472">
        <f t="shared" si="25"/>
        <v>0</v>
      </c>
      <c r="G95" s="472">
        <f t="shared" si="23"/>
        <v>0</v>
      </c>
    </row>
    <row r="96" spans="1:7" ht="19.899999999999999" customHeight="1">
      <c r="A96" s="505"/>
      <c r="B96" s="466"/>
      <c r="C96" s="469"/>
      <c r="D96" s="470"/>
      <c r="E96" s="471">
        <f t="shared" si="24"/>
        <v>0</v>
      </c>
      <c r="F96" s="472">
        <f t="shared" si="25"/>
        <v>0</v>
      </c>
      <c r="G96" s="472">
        <f t="shared" si="23"/>
        <v>0</v>
      </c>
    </row>
    <row r="97" spans="1:7" ht="19.899999999999999" customHeight="1">
      <c r="A97" s="505"/>
      <c r="B97" s="466"/>
      <c r="C97" s="163"/>
      <c r="D97" s="163"/>
      <c r="E97" s="473"/>
      <c r="F97" s="458"/>
      <c r="G97" s="507"/>
    </row>
    <row r="98" spans="1:7" ht="19.899999999999999" customHeight="1">
      <c r="A98" s="505"/>
      <c r="B98" s="163"/>
      <c r="C98" s="455" t="s">
        <v>1003</v>
      </c>
      <c r="D98" s="458" t="s">
        <v>1000</v>
      </c>
      <c r="E98" s="524">
        <f>SUMPRODUCT(D87:D96,E87:E96)</f>
        <v>0</v>
      </c>
      <c r="F98" s="458" t="s">
        <v>1004</v>
      </c>
      <c r="G98" s="525">
        <f>SUM(G87:G96)</f>
        <v>0</v>
      </c>
    </row>
    <row r="99" spans="1:7" ht="19.899999999999999" customHeight="1">
      <c r="A99" s="505"/>
      <c r="B99" s="466"/>
      <c r="C99" s="474"/>
      <c r="D99" s="473"/>
      <c r="E99" s="460"/>
      <c r="F99" s="458"/>
      <c r="G99" s="511"/>
    </row>
    <row r="100" spans="1:7" ht="19.899999999999999" customHeight="1">
      <c r="A100" s="512"/>
      <c r="B100" s="466"/>
      <c r="C100" s="458" t="s">
        <v>1005</v>
      </c>
      <c r="D100" s="475"/>
      <c r="E100" s="476" t="str">
        <f ca="1">G82&amp;"/día"</f>
        <v>gl./día</v>
      </c>
      <c r="F100" s="452"/>
      <c r="G100" s="507"/>
    </row>
    <row r="101" spans="1:7" ht="19.899999999999999" customHeight="1">
      <c r="A101" s="505"/>
      <c r="B101" s="466"/>
      <c r="C101" s="163"/>
      <c r="D101" s="459"/>
      <c r="E101" s="460"/>
      <c r="F101" s="458"/>
      <c r="G101" s="507"/>
    </row>
    <row r="102" spans="1:7" ht="19.899999999999999" customHeight="1">
      <c r="A102" s="677" t="s">
        <v>575</v>
      </c>
      <c r="B102" s="678"/>
      <c r="C102" s="679" t="s">
        <v>0</v>
      </c>
      <c r="D102" s="691" t="s">
        <v>1864</v>
      </c>
      <c r="E102" s="691" t="s">
        <v>1863</v>
      </c>
      <c r="F102" s="683" t="s">
        <v>1006</v>
      </c>
      <c r="G102" s="685" t="s">
        <v>25</v>
      </c>
    </row>
    <row r="103" spans="1:7" ht="19.899999999999999" customHeight="1">
      <c r="A103" s="477" t="s">
        <v>576</v>
      </c>
      <c r="B103" s="477" t="s">
        <v>577</v>
      </c>
      <c r="C103" s="680"/>
      <c r="D103" s="692"/>
      <c r="E103" s="682"/>
      <c r="F103" s="684"/>
      <c r="G103" s="686"/>
    </row>
    <row r="104" spans="1:7" ht="19.899999999999999" customHeight="1">
      <c r="A104" s="513"/>
      <c r="B104" s="163"/>
      <c r="C104" s="455" t="s">
        <v>1007</v>
      </c>
      <c r="D104" s="460"/>
      <c r="E104" s="460"/>
      <c r="F104" s="163"/>
      <c r="G104" s="514"/>
    </row>
    <row r="105" spans="1:7" ht="19.899999999999999" customHeight="1">
      <c r="A105" s="515">
        <f t="shared" ref="A105:A113" si="26">IFERROR(VLOOKUP(C105,T_Insumos,4,FALSE),0)</f>
        <v>0</v>
      </c>
      <c r="B105" s="478">
        <f t="shared" ref="B105:B113" si="27">IFERROR(VLOOKUP(C105,T_Insumos,5,FALSE),0)</f>
        <v>0</v>
      </c>
      <c r="C105" s="469"/>
      <c r="D105" s="479">
        <f t="shared" ref="D105:D112" si="28">IFERROR(VLOOKUP(C105,T_Insumos,3,FALSE),0)</f>
        <v>0</v>
      </c>
      <c r="E105" s="472">
        <f>D105*$G$98</f>
        <v>0</v>
      </c>
      <c r="F105" s="475">
        <f>$D$100</f>
        <v>0</v>
      </c>
      <c r="G105" s="472">
        <f>IFERROR(ROUND(E105/F105,2),0)</f>
        <v>0</v>
      </c>
    </row>
    <row r="106" spans="1:7" ht="19.899999999999999" customHeight="1">
      <c r="A106" s="515"/>
      <c r="B106" s="478"/>
      <c r="C106" s="469"/>
      <c r="D106" s="479">
        <f t="shared" si="28"/>
        <v>0</v>
      </c>
      <c r="E106" s="472">
        <f>D106*$G$98</f>
        <v>0</v>
      </c>
      <c r="F106" s="475">
        <f t="shared" ref="F106:F108" si="29">$D$100</f>
        <v>0</v>
      </c>
      <c r="G106" s="472">
        <f t="shared" ref="G106:G113" si="30">IFERROR(ROUND(E106/F106,2),0)</f>
        <v>0</v>
      </c>
    </row>
    <row r="107" spans="1:7" ht="19.899999999999999" customHeight="1">
      <c r="A107" s="515">
        <f t="shared" si="26"/>
        <v>0</v>
      </c>
      <c r="B107" s="478">
        <f t="shared" si="27"/>
        <v>0</v>
      </c>
      <c r="C107" s="480"/>
      <c r="D107" s="479">
        <f t="shared" si="28"/>
        <v>0</v>
      </c>
      <c r="E107" s="472">
        <f>D107*$E$98</f>
        <v>0</v>
      </c>
      <c r="F107" s="475">
        <f t="shared" si="29"/>
        <v>0</v>
      </c>
      <c r="G107" s="472">
        <f t="shared" si="30"/>
        <v>0</v>
      </c>
    </row>
    <row r="108" spans="1:7" ht="19.899999999999999" customHeight="1">
      <c r="A108" s="515">
        <f t="shared" si="26"/>
        <v>0</v>
      </c>
      <c r="B108" s="478">
        <f t="shared" si="27"/>
        <v>0</v>
      </c>
      <c r="C108" s="480"/>
      <c r="D108" s="479">
        <f t="shared" si="28"/>
        <v>0</v>
      </c>
      <c r="E108" s="472">
        <f>D108*$E$98</f>
        <v>0</v>
      </c>
      <c r="F108" s="475">
        <f t="shared" si="29"/>
        <v>0</v>
      </c>
      <c r="G108" s="472">
        <f t="shared" si="30"/>
        <v>0</v>
      </c>
    </row>
    <row r="109" spans="1:7" ht="19.899999999999999" customHeight="1">
      <c r="A109" s="515">
        <f t="shared" si="26"/>
        <v>0</v>
      </c>
      <c r="B109" s="478">
        <f t="shared" si="27"/>
        <v>0</v>
      </c>
      <c r="C109" s="480"/>
      <c r="D109" s="479">
        <f t="shared" si="28"/>
        <v>0</v>
      </c>
      <c r="E109" s="472"/>
      <c r="F109" s="475">
        <f>IF(C109="",0,IFERROR(VLOOKUP(COUNTIF($A$1:A109,"ANALISIS DE PRECIOS"),T_Rendimiento_Equipo,5,FALSE),0))</f>
        <v>0</v>
      </c>
      <c r="G109" s="472">
        <f t="shared" si="30"/>
        <v>0</v>
      </c>
    </row>
    <row r="110" spans="1:7" ht="19.899999999999999" customHeight="1">
      <c r="A110" s="515">
        <f t="shared" si="26"/>
        <v>0</v>
      </c>
      <c r="B110" s="478">
        <f t="shared" si="27"/>
        <v>0</v>
      </c>
      <c r="C110" s="480"/>
      <c r="D110" s="479">
        <f t="shared" si="28"/>
        <v>0</v>
      </c>
      <c r="E110" s="472"/>
      <c r="F110" s="475">
        <f>IF(C110="",0,IFERROR(VLOOKUP(COUNTIF($A$1:A110,"ANALISIS DE PRECIOS"),T_Rendimiento_Equipo,5,FALSE),0))</f>
        <v>0</v>
      </c>
      <c r="G110" s="472">
        <f t="shared" si="30"/>
        <v>0</v>
      </c>
    </row>
    <row r="111" spans="1:7" ht="19.899999999999999" customHeight="1">
      <c r="A111" s="515">
        <f t="shared" si="26"/>
        <v>0</v>
      </c>
      <c r="B111" s="478">
        <f t="shared" si="27"/>
        <v>0</v>
      </c>
      <c r="C111" s="480"/>
      <c r="D111" s="479">
        <f t="shared" si="28"/>
        <v>0</v>
      </c>
      <c r="E111" s="472"/>
      <c r="F111" s="475">
        <f>IF(C111="",0,IFERROR(VLOOKUP(COUNTIF($A$1:A111,"ANALISIS DE PRECIOS"),T_Rendimiento_Equipo,5,FALSE),0))</f>
        <v>0</v>
      </c>
      <c r="G111" s="472">
        <f t="shared" si="30"/>
        <v>0</v>
      </c>
    </row>
    <row r="112" spans="1:7" ht="19.899999999999999" customHeight="1">
      <c r="A112" s="515">
        <f t="shared" si="26"/>
        <v>0</v>
      </c>
      <c r="B112" s="478">
        <f t="shared" si="27"/>
        <v>0</v>
      </c>
      <c r="C112" s="480"/>
      <c r="D112" s="479">
        <f t="shared" si="28"/>
        <v>0</v>
      </c>
      <c r="E112" s="472"/>
      <c r="F112" s="475">
        <f>IF(C112="",0,IFERROR(VLOOKUP(COUNTIF($A$1:A112,"ANALISIS DE PRECIOS"),T_Rendimiento_Equipo,5,FALSE),0))</f>
        <v>0</v>
      </c>
      <c r="G112" s="472">
        <f t="shared" si="30"/>
        <v>0</v>
      </c>
    </row>
    <row r="113" spans="1:7" ht="19.899999999999999" customHeight="1">
      <c r="A113" s="515">
        <f t="shared" si="26"/>
        <v>0</v>
      </c>
      <c r="B113" s="478">
        <f t="shared" si="27"/>
        <v>0</v>
      </c>
      <c r="C113" s="469"/>
      <c r="D113" s="479">
        <f t="shared" ref="D113" si="31">IFERROR(VLOOKUP(C113,T_Insumos,3,FALSE),0)</f>
        <v>0</v>
      </c>
      <c r="E113" s="472"/>
      <c r="F113" s="475">
        <f>IF(C113="",0,IFERROR(VLOOKUP(COUNTIF($A$1:A113,"ANALISIS DE PRECIOS"),T_Rendimiento_Equipo,5,FALSE),0))</f>
        <v>0</v>
      </c>
      <c r="G113" s="472">
        <f t="shared" si="30"/>
        <v>0</v>
      </c>
    </row>
    <row r="114" spans="1:7" ht="19.899999999999999" customHeight="1">
      <c r="A114" s="516"/>
      <c r="B114" s="459"/>
      <c r="C114" s="163"/>
      <c r="D114" s="459"/>
      <c r="E114" s="460"/>
      <c r="F114" s="481" t="s">
        <v>26</v>
      </c>
      <c r="G114" s="517">
        <f>SUBTOTAL(9,G105:G113)</f>
        <v>0</v>
      </c>
    </row>
    <row r="115" spans="1:7" ht="19.899999999999999" customHeight="1">
      <c r="A115" s="513"/>
      <c r="B115" s="163"/>
      <c r="C115" s="455" t="s">
        <v>712</v>
      </c>
      <c r="D115" s="459"/>
      <c r="E115" s="460"/>
      <c r="F115" s="461"/>
      <c r="G115" s="514"/>
    </row>
    <row r="116" spans="1:7" ht="19.899999999999999" customHeight="1">
      <c r="A116" s="677" t="s">
        <v>575</v>
      </c>
      <c r="B116" s="678"/>
      <c r="C116" s="679" t="s">
        <v>0</v>
      </c>
      <c r="D116" s="681" t="s">
        <v>23</v>
      </c>
      <c r="E116" s="681" t="s">
        <v>1830</v>
      </c>
      <c r="F116" s="683" t="s">
        <v>1006</v>
      </c>
      <c r="G116" s="685" t="s">
        <v>25</v>
      </c>
    </row>
    <row r="117" spans="1:7" ht="19.899999999999999" customHeight="1">
      <c r="A117" s="477" t="s">
        <v>576</v>
      </c>
      <c r="B117" s="477" t="s">
        <v>577</v>
      </c>
      <c r="C117" s="680"/>
      <c r="D117" s="682"/>
      <c r="E117" s="682"/>
      <c r="F117" s="684"/>
      <c r="G117" s="686"/>
    </row>
    <row r="118" spans="1:7" ht="19.899999999999999" customHeight="1">
      <c r="A118" s="515"/>
      <c r="B118" s="478"/>
      <c r="C118" s="482"/>
      <c r="D118" s="475"/>
      <c r="E118" s="472">
        <f t="shared" ref="E118:E123" si="32">IFERROR(VLOOKUP(C118,T_Insumos,3,FALSE),0)</f>
        <v>0</v>
      </c>
      <c r="F118" s="475">
        <f t="shared" ref="F118:F121" si="33">$D$100</f>
        <v>0</v>
      </c>
      <c r="G118" s="472">
        <f>IFERROR(ROUND(D118*E118/F118,2),0)</f>
        <v>0</v>
      </c>
    </row>
    <row r="119" spans="1:7" ht="19.899999999999999" customHeight="1">
      <c r="A119" s="515"/>
      <c r="B119" s="478"/>
      <c r="C119" s="469"/>
      <c r="D119" s="475"/>
      <c r="E119" s="472">
        <f t="shared" si="32"/>
        <v>0</v>
      </c>
      <c r="F119" s="475">
        <f t="shared" si="33"/>
        <v>0</v>
      </c>
      <c r="G119" s="472">
        <f t="shared" ref="G119:G124" si="34">IFERROR(ROUND(D119*E119/F119,2),0)</f>
        <v>0</v>
      </c>
    </row>
    <row r="120" spans="1:7" ht="19.899999999999999" customHeight="1">
      <c r="A120" s="515"/>
      <c r="B120" s="478"/>
      <c r="C120" s="469"/>
      <c r="D120" s="475"/>
      <c r="E120" s="472">
        <f t="shared" si="32"/>
        <v>0</v>
      </c>
      <c r="F120" s="475">
        <f t="shared" si="33"/>
        <v>0</v>
      </c>
      <c r="G120" s="472">
        <f t="shared" si="34"/>
        <v>0</v>
      </c>
    </row>
    <row r="121" spans="1:7" ht="19.899999999999999" customHeight="1">
      <c r="A121" s="515"/>
      <c r="B121" s="478"/>
      <c r="C121" s="469"/>
      <c r="D121" s="475"/>
      <c r="E121" s="472">
        <f t="shared" si="32"/>
        <v>0</v>
      </c>
      <c r="F121" s="475">
        <f t="shared" si="33"/>
        <v>0</v>
      </c>
      <c r="G121" s="472">
        <f t="shared" si="34"/>
        <v>0</v>
      </c>
    </row>
    <row r="122" spans="1:7" ht="19.899999999999999" customHeight="1">
      <c r="A122" s="515"/>
      <c r="B122" s="478"/>
      <c r="C122" s="469"/>
      <c r="D122" s="475"/>
      <c r="E122" s="472">
        <f t="shared" si="32"/>
        <v>0</v>
      </c>
      <c r="F122" s="475">
        <f>IF(C122="",0,IFERROR(VLOOKUP(COUNTIF($A$1:A122,"ANALISIS DE PRECIOS"),T_Rendimiento_Equipo,5,FALSE),0))</f>
        <v>0</v>
      </c>
      <c r="G122" s="472">
        <f t="shared" si="34"/>
        <v>0</v>
      </c>
    </row>
    <row r="123" spans="1:7" ht="19.899999999999999" customHeight="1">
      <c r="A123" s="515">
        <f t="shared" ref="A123:A124" si="35">IFERROR(VLOOKUP(C123,T_Insumos,4,FALSE),0)</f>
        <v>0</v>
      </c>
      <c r="B123" s="478">
        <f t="shared" ref="B123:B124" si="36">IFERROR(VLOOKUP(C123,T_Insumos,5,FALSE),0)</f>
        <v>0</v>
      </c>
      <c r="C123" s="469"/>
      <c r="D123" s="483"/>
      <c r="E123" s="472">
        <f t="shared" si="32"/>
        <v>0</v>
      </c>
      <c r="F123" s="475">
        <f>$D$100</f>
        <v>0</v>
      </c>
      <c r="G123" s="472">
        <f t="shared" si="34"/>
        <v>0</v>
      </c>
    </row>
    <row r="124" spans="1:7" ht="19.899999999999999" customHeight="1">
      <c r="A124" s="515">
        <f t="shared" si="35"/>
        <v>0</v>
      </c>
      <c r="B124" s="478">
        <f t="shared" si="36"/>
        <v>0</v>
      </c>
      <c r="C124" s="478"/>
      <c r="D124" s="484"/>
      <c r="E124" s="472">
        <f t="shared" ref="E124" si="37">IFERROR(VLOOKUP(C124,T_Insumos,3,FALSE),0)</f>
        <v>0</v>
      </c>
      <c r="F124" s="475">
        <f>IF(C124="",0,IFERROR(VLOOKUP(COUNTIF($A$1:A124,"ANALISIS DE PRECIOS"),T_Rendimiento_Equipo,5,FALSE),0))</f>
        <v>0</v>
      </c>
      <c r="G124" s="472">
        <f t="shared" si="34"/>
        <v>0</v>
      </c>
    </row>
    <row r="125" spans="1:7" ht="19.899999999999999" customHeight="1">
      <c r="A125" s="516"/>
      <c r="B125" s="459"/>
      <c r="C125" s="163"/>
      <c r="D125" s="459"/>
      <c r="E125" s="460"/>
      <c r="F125" s="481" t="s">
        <v>27</v>
      </c>
      <c r="G125" s="518">
        <f>SUBTOTAL(9,G118:G124)</f>
        <v>0</v>
      </c>
    </row>
    <row r="126" spans="1:7" ht="19.899999999999999" customHeight="1">
      <c r="A126" s="513"/>
      <c r="B126" s="163"/>
      <c r="C126" s="455" t="s">
        <v>1013</v>
      </c>
      <c r="D126" s="459"/>
      <c r="E126" s="460"/>
      <c r="F126" s="461"/>
      <c r="G126" s="514"/>
    </row>
    <row r="127" spans="1:7" ht="19.899999999999999" customHeight="1">
      <c r="A127" s="677" t="s">
        <v>575</v>
      </c>
      <c r="B127" s="678"/>
      <c r="C127" s="679" t="s">
        <v>0</v>
      </c>
      <c r="D127" s="679" t="s">
        <v>1865</v>
      </c>
      <c r="E127" s="681" t="s">
        <v>23</v>
      </c>
      <c r="F127" s="683" t="s">
        <v>24</v>
      </c>
      <c r="G127" s="685" t="s">
        <v>25</v>
      </c>
    </row>
    <row r="128" spans="1:7" ht="19.899999999999999" customHeight="1">
      <c r="A128" s="477" t="s">
        <v>576</v>
      </c>
      <c r="B128" s="477" t="s">
        <v>577</v>
      </c>
      <c r="C128" s="680"/>
      <c r="D128" s="680"/>
      <c r="E128" s="682"/>
      <c r="F128" s="684"/>
      <c r="G128" s="686"/>
    </row>
    <row r="129" spans="1:7" ht="19.899999999999999" customHeight="1">
      <c r="A129" s="515">
        <f t="shared" ref="A129:A139" si="38">IFERROR(VLOOKUP(C129,T_Insumos,4,FALSE),0)</f>
        <v>0</v>
      </c>
      <c r="B129" s="478">
        <f t="shared" ref="B129:B139" si="39">IFERROR(VLOOKUP(C129,T_Insumos,5,FALSE),0)</f>
        <v>0</v>
      </c>
      <c r="C129" s="478"/>
      <c r="D129" s="526">
        <f t="shared" ref="D129:D139" si="40">IFERROR(VLOOKUP(C129,T_Insumos,2,FALSE),0)</f>
        <v>0</v>
      </c>
      <c r="E129" s="470"/>
      <c r="F129" s="472">
        <f t="shared" ref="F129:F139" si="41">IFERROR(VLOOKUP(C129,T_Insumos,3,FALSE),0)</f>
        <v>0</v>
      </c>
      <c r="G129" s="472">
        <f>ROUND(E129*F129,2)</f>
        <v>0</v>
      </c>
    </row>
    <row r="130" spans="1:7" ht="19.899999999999999" customHeight="1">
      <c r="A130" s="515">
        <f t="shared" si="38"/>
        <v>0</v>
      </c>
      <c r="B130" s="478">
        <f t="shared" si="39"/>
        <v>0</v>
      </c>
      <c r="C130" s="478"/>
      <c r="D130" s="526">
        <f t="shared" si="40"/>
        <v>0</v>
      </c>
      <c r="E130" s="470"/>
      <c r="F130" s="472">
        <f t="shared" si="41"/>
        <v>0</v>
      </c>
      <c r="G130" s="472">
        <f t="shared" ref="G130:G139" si="42">ROUND(E130*F130,2)</f>
        <v>0</v>
      </c>
    </row>
    <row r="131" spans="1:7" ht="19.899999999999999" customHeight="1">
      <c r="A131" s="515">
        <f t="shared" si="38"/>
        <v>0</v>
      </c>
      <c r="B131" s="478">
        <f t="shared" si="39"/>
        <v>0</v>
      </c>
      <c r="C131" s="478"/>
      <c r="D131" s="526">
        <f t="shared" si="40"/>
        <v>0</v>
      </c>
      <c r="E131" s="470"/>
      <c r="F131" s="472">
        <f t="shared" si="41"/>
        <v>0</v>
      </c>
      <c r="G131" s="472">
        <f t="shared" si="42"/>
        <v>0</v>
      </c>
    </row>
    <row r="132" spans="1:7" ht="19.899999999999999" customHeight="1">
      <c r="A132" s="515">
        <f t="shared" si="38"/>
        <v>0</v>
      </c>
      <c r="B132" s="478">
        <f t="shared" si="39"/>
        <v>0</v>
      </c>
      <c r="C132" s="478"/>
      <c r="D132" s="526">
        <f t="shared" si="40"/>
        <v>0</v>
      </c>
      <c r="E132" s="470"/>
      <c r="F132" s="472">
        <f t="shared" si="41"/>
        <v>0</v>
      </c>
      <c r="G132" s="472">
        <f t="shared" si="42"/>
        <v>0</v>
      </c>
    </row>
    <row r="133" spans="1:7" ht="19.899999999999999" customHeight="1">
      <c r="A133" s="515">
        <f t="shared" si="38"/>
        <v>0</v>
      </c>
      <c r="B133" s="478">
        <f t="shared" si="39"/>
        <v>0</v>
      </c>
      <c r="C133" s="478"/>
      <c r="D133" s="526">
        <f t="shared" si="40"/>
        <v>0</v>
      </c>
      <c r="E133" s="470"/>
      <c r="F133" s="472">
        <f t="shared" si="41"/>
        <v>0</v>
      </c>
      <c r="G133" s="472">
        <f t="shared" si="42"/>
        <v>0</v>
      </c>
    </row>
    <row r="134" spans="1:7" ht="19.899999999999999" customHeight="1">
      <c r="A134" s="515">
        <f t="shared" si="38"/>
        <v>0</v>
      </c>
      <c r="B134" s="478">
        <f t="shared" si="39"/>
        <v>0</v>
      </c>
      <c r="C134" s="478"/>
      <c r="D134" s="526">
        <f t="shared" si="40"/>
        <v>0</v>
      </c>
      <c r="E134" s="470"/>
      <c r="F134" s="472">
        <f t="shared" si="41"/>
        <v>0</v>
      </c>
      <c r="G134" s="472">
        <f t="shared" si="42"/>
        <v>0</v>
      </c>
    </row>
    <row r="135" spans="1:7" ht="19.899999999999999" customHeight="1">
      <c r="A135" s="515">
        <f t="shared" si="38"/>
        <v>0</v>
      </c>
      <c r="B135" s="478">
        <f t="shared" si="39"/>
        <v>0</v>
      </c>
      <c r="C135" s="478"/>
      <c r="D135" s="526">
        <f t="shared" si="40"/>
        <v>0</v>
      </c>
      <c r="E135" s="470"/>
      <c r="F135" s="472">
        <f t="shared" si="41"/>
        <v>0</v>
      </c>
      <c r="G135" s="472">
        <f t="shared" si="42"/>
        <v>0</v>
      </c>
    </row>
    <row r="136" spans="1:7" ht="19.899999999999999" customHeight="1">
      <c r="A136" s="515">
        <f t="shared" si="38"/>
        <v>0</v>
      </c>
      <c r="B136" s="478">
        <f t="shared" si="39"/>
        <v>0</v>
      </c>
      <c r="C136" s="478"/>
      <c r="D136" s="526">
        <f t="shared" si="40"/>
        <v>0</v>
      </c>
      <c r="E136" s="470"/>
      <c r="F136" s="472">
        <f t="shared" si="41"/>
        <v>0</v>
      </c>
      <c r="G136" s="472">
        <f t="shared" si="42"/>
        <v>0</v>
      </c>
    </row>
    <row r="137" spans="1:7" ht="19.899999999999999" customHeight="1">
      <c r="A137" s="515">
        <f t="shared" si="38"/>
        <v>0</v>
      </c>
      <c r="B137" s="478">
        <f t="shared" si="39"/>
        <v>0</v>
      </c>
      <c r="C137" s="478"/>
      <c r="D137" s="526">
        <f t="shared" si="40"/>
        <v>0</v>
      </c>
      <c r="E137" s="470"/>
      <c r="F137" s="472">
        <f t="shared" si="41"/>
        <v>0</v>
      </c>
      <c r="G137" s="472">
        <f t="shared" si="42"/>
        <v>0</v>
      </c>
    </row>
    <row r="138" spans="1:7" ht="19.899999999999999" customHeight="1">
      <c r="A138" s="515">
        <f t="shared" si="38"/>
        <v>0</v>
      </c>
      <c r="B138" s="478">
        <f t="shared" si="39"/>
        <v>0</v>
      </c>
      <c r="C138" s="478"/>
      <c r="D138" s="526">
        <f t="shared" si="40"/>
        <v>0</v>
      </c>
      <c r="E138" s="470"/>
      <c r="F138" s="472">
        <f t="shared" si="41"/>
        <v>0</v>
      </c>
      <c r="G138" s="472">
        <f t="shared" si="42"/>
        <v>0</v>
      </c>
    </row>
    <row r="139" spans="1:7" ht="19.899999999999999" customHeight="1">
      <c r="A139" s="515">
        <f t="shared" si="38"/>
        <v>0</v>
      </c>
      <c r="B139" s="478">
        <f t="shared" si="39"/>
        <v>0</v>
      </c>
      <c r="C139" s="478"/>
      <c r="D139" s="526">
        <f t="shared" si="40"/>
        <v>0</v>
      </c>
      <c r="E139" s="470"/>
      <c r="F139" s="472">
        <f t="shared" si="41"/>
        <v>0</v>
      </c>
      <c r="G139" s="472">
        <f t="shared" si="42"/>
        <v>0</v>
      </c>
    </row>
    <row r="140" spans="1:7" ht="19.899999999999999" customHeight="1">
      <c r="A140" s="513"/>
      <c r="B140" s="163"/>
      <c r="C140" s="163"/>
      <c r="D140" s="459"/>
      <c r="E140" s="460"/>
      <c r="F140" s="481" t="s">
        <v>28</v>
      </c>
      <c r="G140" s="518">
        <f>SUBTOTAL(9,G129:G139)</f>
        <v>0</v>
      </c>
    </row>
    <row r="141" spans="1:7" ht="19.899999999999999" customHeight="1">
      <c r="A141" s="513"/>
      <c r="B141" s="163"/>
      <c r="C141" s="455" t="s">
        <v>1014</v>
      </c>
      <c r="D141" s="459"/>
      <c r="E141" s="460"/>
      <c r="F141" s="461"/>
      <c r="G141" s="514"/>
    </row>
    <row r="142" spans="1:7" ht="19.899999999999999" customHeight="1">
      <c r="A142" s="677" t="s">
        <v>575</v>
      </c>
      <c r="B142" s="678"/>
      <c r="C142" s="679" t="s">
        <v>0</v>
      </c>
      <c r="D142" s="679" t="s">
        <v>1865</v>
      </c>
      <c r="E142" s="681" t="s">
        <v>23</v>
      </c>
      <c r="F142" s="683" t="s">
        <v>24</v>
      </c>
      <c r="G142" s="685" t="s">
        <v>25</v>
      </c>
    </row>
    <row r="143" spans="1:7" ht="19.899999999999999" customHeight="1">
      <c r="A143" s="477" t="s">
        <v>576</v>
      </c>
      <c r="B143" s="477" t="s">
        <v>577</v>
      </c>
      <c r="C143" s="680"/>
      <c r="D143" s="680"/>
      <c r="E143" s="682"/>
      <c r="F143" s="684"/>
      <c r="G143" s="686"/>
    </row>
    <row r="144" spans="1:7" ht="19.899999999999999" customHeight="1">
      <c r="A144" s="515">
        <f>IFERROR(VLOOKUP(C144,T_Insumos,4,FALSE),0)</f>
        <v>0</v>
      </c>
      <c r="B144" s="478">
        <f>IFERROR(VLOOKUP(C144,T_Insumos,5,FALSE),0)</f>
        <v>0</v>
      </c>
      <c r="C144" s="469"/>
      <c r="D144" s="526">
        <f>IF(C144=0,0,"$/tnkm")</f>
        <v>0</v>
      </c>
      <c r="E144" s="470"/>
      <c r="F144" s="472">
        <f>IFERROR(VLOOKUP(C144,T_Insumos,3,FALSE),0)</f>
        <v>0</v>
      </c>
      <c r="G144" s="472">
        <f>ROUND(E144*F144,2)</f>
        <v>0</v>
      </c>
    </row>
    <row r="145" spans="1:7" ht="19.899999999999999" customHeight="1">
      <c r="A145" s="515">
        <f>IFERROR(VLOOKUP(C145,T_Insumos,4,FALSE),0)</f>
        <v>0</v>
      </c>
      <c r="B145" s="478">
        <f>IFERROR(VLOOKUP(C145,T_Insumos,5,FALSE),0)</f>
        <v>0</v>
      </c>
      <c r="C145" s="469"/>
      <c r="D145" s="526">
        <f>IF(C145=0,0,"$/tnkm")</f>
        <v>0</v>
      </c>
      <c r="E145" s="486"/>
      <c r="F145" s="472">
        <f>IFERROR(VLOOKUP(C145,T_Insumos,3,FALSE),0)</f>
        <v>0</v>
      </c>
      <c r="G145" s="472">
        <f t="shared" ref="G145" si="43">ROUND(E145*F145,2)</f>
        <v>0</v>
      </c>
    </row>
    <row r="146" spans="1:7" ht="19.899999999999999" customHeight="1">
      <c r="A146" s="513"/>
      <c r="B146" s="163"/>
      <c r="C146" s="163"/>
      <c r="D146" s="459"/>
      <c r="E146" s="460"/>
      <c r="F146" s="481" t="s">
        <v>1015</v>
      </c>
      <c r="G146" s="518">
        <f>SUBTOTAL(9,G144:G145)</f>
        <v>0</v>
      </c>
    </row>
    <row r="147" spans="1:7" ht="19.899999999999999" customHeight="1">
      <c r="A147" s="516"/>
      <c r="B147" s="459"/>
      <c r="C147" s="163"/>
      <c r="D147" s="459"/>
      <c r="E147" s="460"/>
      <c r="F147" s="461"/>
      <c r="G147" s="514"/>
    </row>
    <row r="148" spans="1:7" ht="19.899999999999999" customHeight="1">
      <c r="A148" s="574" t="str">
        <f>B82</f>
        <v>2.1</v>
      </c>
      <c r="B148" s="571" t="str">
        <f ca="1">C82</f>
        <v>Limpieza inicial y Relevamientos Topograficos</v>
      </c>
      <c r="C148" s="459"/>
      <c r="D148" s="459" t="s">
        <v>1831</v>
      </c>
      <c r="E148" s="572"/>
      <c r="F148" s="573" t="str">
        <f ca="1">"$/"&amp;G82</f>
        <v>$/gl.</v>
      </c>
      <c r="G148" s="523">
        <f>SUBTOTAL(9,G105:G147)</f>
        <v>0</v>
      </c>
    </row>
    <row r="149" spans="1:7" ht="19.899999999999999" customHeight="1">
      <c r="A149" s="519"/>
      <c r="B149" s="520"/>
      <c r="C149" s="521"/>
      <c r="D149" s="521" t="s">
        <v>2041</v>
      </c>
      <c r="E149" s="522"/>
      <c r="F149" s="575" t="str">
        <f ca="1">"$/"&amp;G82</f>
        <v>$/gl.</v>
      </c>
      <c r="G149" s="523">
        <f>ROUND(G148*Coeficiente_Paso,2)</f>
        <v>0</v>
      </c>
    </row>
    <row r="150" spans="1:7" ht="19.899999999999999" customHeight="1">
      <c r="A150" s="163"/>
      <c r="B150" s="163"/>
      <c r="C150" s="163"/>
      <c r="D150" s="163"/>
      <c r="E150" s="163"/>
      <c r="F150" s="163"/>
      <c r="G150" s="163"/>
    </row>
    <row r="151" spans="1:7" ht="19.899999999999999" customHeight="1">
      <c r="A151" s="687" t="s">
        <v>30</v>
      </c>
      <c r="B151" s="688"/>
      <c r="C151" s="688"/>
      <c r="D151" s="688"/>
      <c r="E151" s="688"/>
      <c r="F151" s="688"/>
      <c r="G151" s="689"/>
    </row>
    <row r="152" spans="1:7" ht="19.899999999999999" customHeight="1">
      <c r="A152" s="502" t="s">
        <v>710</v>
      </c>
      <c r="B152" s="453" t="str">
        <f>Comitente</f>
        <v>DEPARTAMENTO DE HIDRAULICA</v>
      </c>
      <c r="C152" s="454"/>
      <c r="D152" s="455"/>
      <c r="E152" s="455"/>
      <c r="F152" s="456"/>
      <c r="G152" s="503"/>
    </row>
    <row r="153" spans="1:7" ht="19.899999999999999" customHeight="1">
      <c r="A153" s="502" t="s">
        <v>711</v>
      </c>
      <c r="B153" s="453">
        <f>Contratista</f>
        <v>0</v>
      </c>
      <c r="C153" s="457"/>
      <c r="D153" s="457"/>
      <c r="E153" s="457"/>
      <c r="F153" s="453"/>
      <c r="G153" s="504"/>
    </row>
    <row r="154" spans="1:7" ht="19.899999999999999" customHeight="1">
      <c r="A154" s="502" t="s">
        <v>20</v>
      </c>
      <c r="B154" s="453" t="str">
        <f>Obra</f>
        <v>MEJORA DE LA RED DE RIEGO DEL VALLE DE JÁCHAL</v>
      </c>
      <c r="C154" s="457"/>
      <c r="D154" s="457"/>
      <c r="E154" s="457"/>
      <c r="F154" s="453" t="s">
        <v>31</v>
      </c>
      <c r="G154" s="504" t="str">
        <f>Fecha_Base</f>
        <v>XX/07/2020</v>
      </c>
    </row>
    <row r="155" spans="1:7" ht="19.899999999999999" customHeight="1">
      <c r="A155" s="505" t="s">
        <v>709</v>
      </c>
      <c r="B155" s="458" t="str">
        <f>Ubicación</f>
        <v>JACHAL</v>
      </c>
      <c r="C155" s="458"/>
      <c r="D155" s="459"/>
      <c r="E155" s="460"/>
      <c r="F155" s="461"/>
      <c r="G155" s="506"/>
    </row>
    <row r="156" spans="1:7" ht="19.899999999999999" customHeight="1">
      <c r="A156" s="505" t="s">
        <v>32</v>
      </c>
      <c r="B156" s="462">
        <f>IFERROR(VALUE(LEFT(B157,FIND(".",B157)-1)),"")</f>
        <v>2</v>
      </c>
      <c r="C156" s="163" t="str">
        <f ca="1">IFERROR(VLOOKUP(B156,T_Computo_Presupuesto,2,FALSE),0)</f>
        <v>TAREAS GENERALES</v>
      </c>
      <c r="D156" s="163"/>
      <c r="E156" s="460"/>
      <c r="F156" s="461"/>
      <c r="G156" s="506"/>
    </row>
    <row r="157" spans="1:7" ht="19.899999999999999" customHeight="1">
      <c r="A157" s="505" t="s">
        <v>21</v>
      </c>
      <c r="B157" s="463" t="str">
        <f>IFERROR(VLOOKUP(COUNTIF($A$1:A157,"ANALISIS DE PRECIOS"),T_NumeroItem,2,FALSE),"")</f>
        <v>2.2</v>
      </c>
      <c r="C157" s="690" t="str">
        <f ca="1">IFERROR(VLOOKUP(B157,T_Computo_Presupuesto,2,FALSE),0)</f>
        <v>Replanteo y Ajustes</v>
      </c>
      <c r="D157" s="690"/>
      <c r="E157" s="690"/>
      <c r="F157" s="458" t="s">
        <v>22</v>
      </c>
      <c r="G157" s="507" t="str">
        <f ca="1">IFERROR(VLOOKUP(B157,T_Computo_Presupuesto,4,FALSE),0)</f>
        <v>gl.</v>
      </c>
    </row>
    <row r="158" spans="1:7" ht="19.899999999999999" customHeight="1">
      <c r="A158" s="505"/>
      <c r="B158" s="458"/>
      <c r="C158" s="163"/>
      <c r="D158" s="459"/>
      <c r="E158" s="460"/>
      <c r="F158" s="163"/>
      <c r="G158" s="508"/>
    </row>
    <row r="159" spans="1:7" ht="19.899999999999999" customHeight="1">
      <c r="A159" s="509"/>
      <c r="B159" s="464"/>
      <c r="C159" s="465" t="s">
        <v>998</v>
      </c>
      <c r="D159" s="464"/>
      <c r="E159" s="464"/>
      <c r="F159" s="464"/>
      <c r="G159" s="510"/>
    </row>
    <row r="160" spans="1:7" ht="19.899999999999999" customHeight="1">
      <c r="A160" s="505"/>
      <c r="B160" s="466"/>
      <c r="C160" s="163"/>
      <c r="D160" s="459"/>
      <c r="E160" s="460"/>
      <c r="F160" s="458"/>
      <c r="G160" s="507"/>
    </row>
    <row r="161" spans="1:7" ht="19.899999999999999" customHeight="1">
      <c r="A161" s="505"/>
      <c r="B161" s="466"/>
      <c r="C161" s="467" t="s">
        <v>999</v>
      </c>
      <c r="D161" s="468" t="s">
        <v>23</v>
      </c>
      <c r="E161" s="468" t="s">
        <v>1000</v>
      </c>
      <c r="F161" s="468" t="s">
        <v>1001</v>
      </c>
      <c r="G161" s="467" t="s">
        <v>1002</v>
      </c>
    </row>
    <row r="162" spans="1:7" ht="19.899999999999999" customHeight="1">
      <c r="A162" s="505"/>
      <c r="B162" s="466"/>
      <c r="C162" s="469"/>
      <c r="D162" s="470"/>
      <c r="E162" s="471">
        <f t="shared" ref="E162:E170" si="44">IFERROR(VLOOKUP(C162,T_Equipos,4,FALSE),0)</f>
        <v>0</v>
      </c>
      <c r="F162" s="472">
        <f t="shared" ref="F162:F170" si="45">IFERROR(VLOOKUP(C162,T_Equipos,5,FALSE),0)</f>
        <v>0</v>
      </c>
      <c r="G162" s="472">
        <f>ROUND(D162*F162,2)</f>
        <v>0</v>
      </c>
    </row>
    <row r="163" spans="1:7" ht="19.899999999999999" customHeight="1">
      <c r="A163" s="505"/>
      <c r="B163" s="466"/>
      <c r="C163" s="469"/>
      <c r="D163" s="470"/>
      <c r="E163" s="471">
        <f t="shared" si="44"/>
        <v>0</v>
      </c>
      <c r="F163" s="472">
        <f t="shared" si="45"/>
        <v>0</v>
      </c>
      <c r="G163" s="472">
        <f t="shared" ref="G163:G171" si="46">ROUND(D163*F163,2)</f>
        <v>0</v>
      </c>
    </row>
    <row r="164" spans="1:7" ht="19.899999999999999" customHeight="1">
      <c r="A164" s="505"/>
      <c r="B164" s="466"/>
      <c r="C164" s="469"/>
      <c r="D164" s="470"/>
      <c r="E164" s="471">
        <f t="shared" si="44"/>
        <v>0</v>
      </c>
      <c r="F164" s="472">
        <f t="shared" si="45"/>
        <v>0</v>
      </c>
      <c r="G164" s="472">
        <f t="shared" si="46"/>
        <v>0</v>
      </c>
    </row>
    <row r="165" spans="1:7" ht="19.899999999999999" customHeight="1">
      <c r="A165" s="505"/>
      <c r="B165" s="466"/>
      <c r="C165" s="469"/>
      <c r="D165" s="470"/>
      <c r="E165" s="471">
        <f t="shared" si="44"/>
        <v>0</v>
      </c>
      <c r="F165" s="472">
        <f t="shared" si="45"/>
        <v>0</v>
      </c>
      <c r="G165" s="472">
        <f t="shared" si="46"/>
        <v>0</v>
      </c>
    </row>
    <row r="166" spans="1:7" ht="19.899999999999999" customHeight="1">
      <c r="A166" s="505"/>
      <c r="B166" s="466"/>
      <c r="C166" s="469"/>
      <c r="D166" s="470"/>
      <c r="E166" s="471">
        <f t="shared" si="44"/>
        <v>0</v>
      </c>
      <c r="F166" s="472">
        <f t="shared" si="45"/>
        <v>0</v>
      </c>
      <c r="G166" s="472">
        <f t="shared" si="46"/>
        <v>0</v>
      </c>
    </row>
    <row r="167" spans="1:7" ht="19.899999999999999" customHeight="1">
      <c r="A167" s="505"/>
      <c r="B167" s="466"/>
      <c r="C167" s="469"/>
      <c r="D167" s="470"/>
      <c r="E167" s="471">
        <f t="shared" si="44"/>
        <v>0</v>
      </c>
      <c r="F167" s="472">
        <f t="shared" si="45"/>
        <v>0</v>
      </c>
      <c r="G167" s="472">
        <f t="shared" si="46"/>
        <v>0</v>
      </c>
    </row>
    <row r="168" spans="1:7" ht="19.899999999999999" customHeight="1">
      <c r="A168" s="505"/>
      <c r="B168" s="466"/>
      <c r="C168" s="469"/>
      <c r="D168" s="470"/>
      <c r="E168" s="471">
        <f t="shared" si="44"/>
        <v>0</v>
      </c>
      <c r="F168" s="472">
        <f t="shared" si="45"/>
        <v>0</v>
      </c>
      <c r="G168" s="472">
        <f t="shared" si="46"/>
        <v>0</v>
      </c>
    </row>
    <row r="169" spans="1:7" ht="19.899999999999999" customHeight="1">
      <c r="A169" s="505"/>
      <c r="B169" s="466"/>
      <c r="C169" s="469"/>
      <c r="D169" s="470"/>
      <c r="E169" s="471">
        <f t="shared" si="44"/>
        <v>0</v>
      </c>
      <c r="F169" s="472">
        <f t="shared" si="45"/>
        <v>0</v>
      </c>
      <c r="G169" s="472">
        <f t="shared" si="46"/>
        <v>0</v>
      </c>
    </row>
    <row r="170" spans="1:7" ht="19.899999999999999" customHeight="1">
      <c r="A170" s="505"/>
      <c r="B170" s="466"/>
      <c r="C170" s="469"/>
      <c r="D170" s="470"/>
      <c r="E170" s="471">
        <f t="shared" si="44"/>
        <v>0</v>
      </c>
      <c r="F170" s="472">
        <f t="shared" si="45"/>
        <v>0</v>
      </c>
      <c r="G170" s="472">
        <f t="shared" si="46"/>
        <v>0</v>
      </c>
    </row>
    <row r="171" spans="1:7" ht="19.899999999999999" customHeight="1">
      <c r="A171" s="505"/>
      <c r="B171" s="466"/>
      <c r="C171" s="469"/>
      <c r="D171" s="470"/>
      <c r="E171" s="471">
        <f t="shared" ref="E171" si="47">IFERROR(VLOOKUP(C171,T_Equipos,4,FALSE),0)</f>
        <v>0</v>
      </c>
      <c r="F171" s="472">
        <f t="shared" ref="F171" si="48">IFERROR(VLOOKUP(C171,T_Equipos,5,FALSE),0)</f>
        <v>0</v>
      </c>
      <c r="G171" s="472">
        <f t="shared" si="46"/>
        <v>0</v>
      </c>
    </row>
    <row r="172" spans="1:7" ht="19.899999999999999" customHeight="1">
      <c r="A172" s="505"/>
      <c r="B172" s="466"/>
      <c r="C172" s="163"/>
      <c r="D172" s="163"/>
      <c r="E172" s="473"/>
      <c r="F172" s="458"/>
      <c r="G172" s="507"/>
    </row>
    <row r="173" spans="1:7" ht="19.899999999999999" customHeight="1">
      <c r="A173" s="505"/>
      <c r="B173" s="163"/>
      <c r="C173" s="455" t="s">
        <v>1003</v>
      </c>
      <c r="D173" s="458" t="s">
        <v>1000</v>
      </c>
      <c r="E173" s="524">
        <f>SUMPRODUCT(D162:D171,E162:E171)</f>
        <v>0</v>
      </c>
      <c r="F173" s="458" t="s">
        <v>1004</v>
      </c>
      <c r="G173" s="525">
        <f>SUM(G162:G171)</f>
        <v>0</v>
      </c>
    </row>
    <row r="174" spans="1:7" ht="19.899999999999999" customHeight="1">
      <c r="A174" s="505"/>
      <c r="B174" s="466"/>
      <c r="C174" s="474"/>
      <c r="D174" s="473"/>
      <c r="E174" s="460"/>
      <c r="F174" s="458"/>
      <c r="G174" s="511"/>
    </row>
    <row r="175" spans="1:7" ht="19.899999999999999" customHeight="1">
      <c r="A175" s="512"/>
      <c r="B175" s="466"/>
      <c r="C175" s="458" t="s">
        <v>1005</v>
      </c>
      <c r="D175" s="475"/>
      <c r="E175" s="476" t="str">
        <f ca="1">G157&amp;"/día"</f>
        <v>gl./día</v>
      </c>
      <c r="F175" s="452"/>
      <c r="G175" s="507"/>
    </row>
    <row r="176" spans="1:7" ht="19.899999999999999" customHeight="1">
      <c r="A176" s="505"/>
      <c r="B176" s="466"/>
      <c r="C176" s="163"/>
      <c r="D176" s="459"/>
      <c r="E176" s="460"/>
      <c r="F176" s="458"/>
      <c r="G176" s="507"/>
    </row>
    <row r="177" spans="1:7" ht="19.899999999999999" customHeight="1">
      <c r="A177" s="677" t="s">
        <v>575</v>
      </c>
      <c r="B177" s="678"/>
      <c r="C177" s="679" t="s">
        <v>0</v>
      </c>
      <c r="D177" s="691" t="s">
        <v>1864</v>
      </c>
      <c r="E177" s="691" t="s">
        <v>1863</v>
      </c>
      <c r="F177" s="683" t="s">
        <v>1006</v>
      </c>
      <c r="G177" s="685" t="s">
        <v>25</v>
      </c>
    </row>
    <row r="178" spans="1:7" ht="19.899999999999999" customHeight="1">
      <c r="A178" s="477" t="s">
        <v>576</v>
      </c>
      <c r="B178" s="477" t="s">
        <v>577</v>
      </c>
      <c r="C178" s="680"/>
      <c r="D178" s="692"/>
      <c r="E178" s="682"/>
      <c r="F178" s="684"/>
      <c r="G178" s="686"/>
    </row>
    <row r="179" spans="1:7" ht="19.899999999999999" customHeight="1">
      <c r="A179" s="513"/>
      <c r="B179" s="163"/>
      <c r="C179" s="455" t="s">
        <v>1007</v>
      </c>
      <c r="D179" s="460"/>
      <c r="E179" s="460"/>
      <c r="F179" s="163"/>
      <c r="G179" s="514"/>
    </row>
    <row r="180" spans="1:7" ht="19.899999999999999" customHeight="1">
      <c r="A180" s="515">
        <f t="shared" ref="A180:A188" si="49">IFERROR(VLOOKUP(C180,T_Insumos,4,FALSE),0)</f>
        <v>0</v>
      </c>
      <c r="B180" s="478">
        <f t="shared" ref="B180:B188" si="50">IFERROR(VLOOKUP(C180,T_Insumos,5,FALSE),0)</f>
        <v>0</v>
      </c>
      <c r="C180" s="469"/>
      <c r="D180" s="479">
        <f t="shared" ref="D180:D184" si="51">IFERROR(VLOOKUP(C180,T_Insumos,3,FALSE),0)</f>
        <v>0</v>
      </c>
      <c r="E180" s="472">
        <f>D180*$G$173</f>
        <v>0</v>
      </c>
      <c r="F180" s="475">
        <f>+$D$175</f>
        <v>0</v>
      </c>
      <c r="G180" s="472">
        <f>IFERROR(ROUND(E180/F180,2),0)</f>
        <v>0</v>
      </c>
    </row>
    <row r="181" spans="1:7" ht="19.899999999999999" customHeight="1">
      <c r="A181" s="515">
        <f t="shared" si="49"/>
        <v>0</v>
      </c>
      <c r="B181" s="478">
        <f t="shared" si="50"/>
        <v>0</v>
      </c>
      <c r="C181" s="469"/>
      <c r="D181" s="479">
        <f t="shared" si="51"/>
        <v>0</v>
      </c>
      <c r="E181" s="472">
        <f>D181*$G$173</f>
        <v>0</v>
      </c>
      <c r="F181" s="475">
        <f t="shared" ref="F181:F183" si="52">+$D$175</f>
        <v>0</v>
      </c>
      <c r="G181" s="472">
        <f t="shared" ref="G181:G183" si="53">IFERROR(ROUND(E181/F181,2),0)</f>
        <v>0</v>
      </c>
    </row>
    <row r="182" spans="1:7" ht="19.899999999999999" customHeight="1">
      <c r="A182" s="515">
        <f t="shared" si="49"/>
        <v>0</v>
      </c>
      <c r="B182" s="478">
        <f t="shared" si="50"/>
        <v>0</v>
      </c>
      <c r="C182" s="480"/>
      <c r="D182" s="479">
        <f t="shared" si="51"/>
        <v>0</v>
      </c>
      <c r="E182" s="472">
        <f>D182*$E$173</f>
        <v>0</v>
      </c>
      <c r="F182" s="475">
        <f t="shared" si="52"/>
        <v>0</v>
      </c>
      <c r="G182" s="472">
        <f t="shared" si="53"/>
        <v>0</v>
      </c>
    </row>
    <row r="183" spans="1:7" ht="19.899999999999999" customHeight="1">
      <c r="A183" s="515">
        <f t="shared" si="49"/>
        <v>0</v>
      </c>
      <c r="B183" s="478">
        <f t="shared" si="50"/>
        <v>0</v>
      </c>
      <c r="C183" s="480"/>
      <c r="D183" s="479">
        <f t="shared" si="51"/>
        <v>0</v>
      </c>
      <c r="E183" s="472">
        <f>D183*$E$173</f>
        <v>0</v>
      </c>
      <c r="F183" s="475">
        <f t="shared" si="52"/>
        <v>0</v>
      </c>
      <c r="G183" s="472">
        <f t="shared" si="53"/>
        <v>0</v>
      </c>
    </row>
    <row r="184" spans="1:7" ht="19.899999999999999" customHeight="1">
      <c r="A184" s="515">
        <f t="shared" si="49"/>
        <v>0</v>
      </c>
      <c r="B184" s="478">
        <f t="shared" si="50"/>
        <v>0</v>
      </c>
      <c r="C184" s="480"/>
      <c r="D184" s="479">
        <f t="shared" si="51"/>
        <v>0</v>
      </c>
      <c r="E184" s="472"/>
      <c r="F184" s="475">
        <f>IF(C184="",0,IFERROR(VLOOKUP(COUNTIF($A$1:A184,"ANALISIS DE PRECIOS"),T_Rendimiento_Equipo,5,FALSE),0))</f>
        <v>0</v>
      </c>
      <c r="G184" s="472">
        <f t="shared" ref="G184:G188" si="54">IFERROR(ROUND(E184/F184,2),0)</f>
        <v>0</v>
      </c>
    </row>
    <row r="185" spans="1:7" ht="19.899999999999999" customHeight="1">
      <c r="A185" s="515">
        <f t="shared" si="49"/>
        <v>0</v>
      </c>
      <c r="B185" s="478">
        <f t="shared" si="50"/>
        <v>0</v>
      </c>
      <c r="C185" s="480"/>
      <c r="D185" s="479">
        <f t="shared" ref="D185:D188" si="55">IFERROR(VLOOKUP(C185,T_Insumos,3,FALSE),0)</f>
        <v>0</v>
      </c>
      <c r="E185" s="472"/>
      <c r="F185" s="475">
        <f>IF(C185="",0,IFERROR(VLOOKUP(COUNTIF($A$1:A185,"ANALISIS DE PRECIOS"),T_Rendimiento_Equipo,5,FALSE),0))</f>
        <v>0</v>
      </c>
      <c r="G185" s="472">
        <f t="shared" si="54"/>
        <v>0</v>
      </c>
    </row>
    <row r="186" spans="1:7" ht="19.899999999999999" customHeight="1">
      <c r="A186" s="515">
        <f t="shared" si="49"/>
        <v>0</v>
      </c>
      <c r="B186" s="478">
        <f t="shared" si="50"/>
        <v>0</v>
      </c>
      <c r="C186" s="480"/>
      <c r="D186" s="479">
        <f t="shared" si="55"/>
        <v>0</v>
      </c>
      <c r="E186" s="472"/>
      <c r="F186" s="475">
        <f>IF(C186="",0,IFERROR(VLOOKUP(COUNTIF($A$1:A186,"ANALISIS DE PRECIOS"),T_Rendimiento_Equipo,5,FALSE),0))</f>
        <v>0</v>
      </c>
      <c r="G186" s="472">
        <f t="shared" si="54"/>
        <v>0</v>
      </c>
    </row>
    <row r="187" spans="1:7" ht="19.899999999999999" customHeight="1">
      <c r="A187" s="515">
        <f t="shared" si="49"/>
        <v>0</v>
      </c>
      <c r="B187" s="478">
        <f t="shared" si="50"/>
        <v>0</v>
      </c>
      <c r="C187" s="480"/>
      <c r="D187" s="479">
        <f t="shared" si="55"/>
        <v>0</v>
      </c>
      <c r="E187" s="472"/>
      <c r="F187" s="475">
        <f>IF(C187="",0,IFERROR(VLOOKUP(COUNTIF($A$1:A187,"ANALISIS DE PRECIOS"),T_Rendimiento_Equipo,5,FALSE),0))</f>
        <v>0</v>
      </c>
      <c r="G187" s="472">
        <f t="shared" si="54"/>
        <v>0</v>
      </c>
    </row>
    <row r="188" spans="1:7" ht="19.899999999999999" customHeight="1">
      <c r="A188" s="515">
        <f t="shared" si="49"/>
        <v>0</v>
      </c>
      <c r="B188" s="478">
        <f t="shared" si="50"/>
        <v>0</v>
      </c>
      <c r="C188" s="469"/>
      <c r="D188" s="479">
        <f t="shared" si="55"/>
        <v>0</v>
      </c>
      <c r="E188" s="472"/>
      <c r="F188" s="475">
        <f>IF(C188="",0,IFERROR(VLOOKUP(COUNTIF($A$1:A188,"ANALISIS DE PRECIOS"),T_Rendimiento_Equipo,5,FALSE),0))</f>
        <v>0</v>
      </c>
      <c r="G188" s="472">
        <f t="shared" si="54"/>
        <v>0</v>
      </c>
    </row>
    <row r="189" spans="1:7" ht="19.899999999999999" customHeight="1">
      <c r="A189" s="516"/>
      <c r="B189" s="459"/>
      <c r="C189" s="163"/>
      <c r="D189" s="459"/>
      <c r="E189" s="460"/>
      <c r="F189" s="481" t="s">
        <v>26</v>
      </c>
      <c r="G189" s="517">
        <f>SUBTOTAL(9,G180:G188)</f>
        <v>0</v>
      </c>
    </row>
    <row r="190" spans="1:7" ht="19.899999999999999" customHeight="1">
      <c r="A190" s="513"/>
      <c r="B190" s="163"/>
      <c r="C190" s="455" t="s">
        <v>712</v>
      </c>
      <c r="D190" s="459"/>
      <c r="E190" s="460"/>
      <c r="F190" s="461"/>
      <c r="G190" s="514"/>
    </row>
    <row r="191" spans="1:7" ht="19.899999999999999" customHeight="1">
      <c r="A191" s="677" t="s">
        <v>575</v>
      </c>
      <c r="B191" s="678"/>
      <c r="C191" s="679" t="s">
        <v>0</v>
      </c>
      <c r="D191" s="681" t="s">
        <v>23</v>
      </c>
      <c r="E191" s="681" t="s">
        <v>1830</v>
      </c>
      <c r="F191" s="683" t="s">
        <v>1006</v>
      </c>
      <c r="G191" s="685" t="s">
        <v>25</v>
      </c>
    </row>
    <row r="192" spans="1:7" ht="19.899999999999999" customHeight="1">
      <c r="A192" s="477" t="s">
        <v>576</v>
      </c>
      <c r="B192" s="477" t="s">
        <v>577</v>
      </c>
      <c r="C192" s="680"/>
      <c r="D192" s="682"/>
      <c r="E192" s="682"/>
      <c r="F192" s="684"/>
      <c r="G192" s="686"/>
    </row>
    <row r="193" spans="1:7" ht="19.899999999999999" customHeight="1">
      <c r="A193" s="515">
        <f t="shared" ref="A193:A198" si="56">IFERROR(VLOOKUP(C193,T_Insumos,4,FALSE),0)</f>
        <v>0</v>
      </c>
      <c r="B193" s="478">
        <f t="shared" ref="B193:B199" si="57">IFERROR(VLOOKUP(C193,T_Insumos,5,FALSE),0)</f>
        <v>0</v>
      </c>
      <c r="C193" s="482"/>
      <c r="D193" s="475"/>
      <c r="E193" s="472">
        <f t="shared" ref="E193:E198" si="58">IFERROR(VLOOKUP(C193,T_Insumos,3,FALSE),0)</f>
        <v>0</v>
      </c>
      <c r="F193" s="475">
        <f>+$D$175</f>
        <v>0</v>
      </c>
      <c r="G193" s="472">
        <f>IFERROR(ROUND(D193*E193/F193,2),0)</f>
        <v>0</v>
      </c>
    </row>
    <row r="194" spans="1:7" ht="19.899999999999999" customHeight="1">
      <c r="A194" s="515">
        <f t="shared" si="56"/>
        <v>0</v>
      </c>
      <c r="B194" s="478">
        <f t="shared" si="57"/>
        <v>0</v>
      </c>
      <c r="C194" s="469"/>
      <c r="D194" s="475"/>
      <c r="E194" s="472">
        <f t="shared" si="58"/>
        <v>0</v>
      </c>
      <c r="F194" s="475">
        <f t="shared" ref="F194:F198" si="59">+$D$175</f>
        <v>0</v>
      </c>
      <c r="G194" s="472">
        <f>IFERROR(ROUND(D194*E194/F194,2),0)</f>
        <v>0</v>
      </c>
    </row>
    <row r="195" spans="1:7" ht="19.899999999999999" customHeight="1">
      <c r="A195" s="515">
        <f t="shared" si="56"/>
        <v>0</v>
      </c>
      <c r="B195" s="478">
        <f t="shared" si="57"/>
        <v>0</v>
      </c>
      <c r="C195" s="469"/>
      <c r="D195" s="475"/>
      <c r="E195" s="472">
        <f t="shared" si="58"/>
        <v>0</v>
      </c>
      <c r="F195" s="475">
        <f t="shared" si="59"/>
        <v>0</v>
      </c>
      <c r="G195" s="472">
        <f t="shared" ref="G195:G199" si="60">IFERROR(ROUND(D195*E195/F195,2),0)</f>
        <v>0</v>
      </c>
    </row>
    <row r="196" spans="1:7" ht="19.899999999999999" customHeight="1">
      <c r="A196" s="515">
        <f t="shared" si="56"/>
        <v>0</v>
      </c>
      <c r="B196" s="478">
        <f t="shared" si="57"/>
        <v>0</v>
      </c>
      <c r="C196" s="469"/>
      <c r="D196" s="475"/>
      <c r="E196" s="472">
        <f t="shared" si="58"/>
        <v>0</v>
      </c>
      <c r="F196" s="475">
        <f t="shared" si="59"/>
        <v>0</v>
      </c>
      <c r="G196" s="472">
        <f t="shared" si="60"/>
        <v>0</v>
      </c>
    </row>
    <row r="197" spans="1:7" ht="19.899999999999999" customHeight="1">
      <c r="A197" s="515">
        <f t="shared" si="56"/>
        <v>0</v>
      </c>
      <c r="B197" s="478">
        <f t="shared" ref="B197" si="61">IFERROR(VLOOKUP(C197,T_Insumos,5,FALSE),0)</f>
        <v>0</v>
      </c>
      <c r="C197" s="469"/>
      <c r="D197" s="475"/>
      <c r="E197" s="472">
        <f t="shared" si="58"/>
        <v>0</v>
      </c>
      <c r="F197" s="475">
        <f t="shared" si="59"/>
        <v>0</v>
      </c>
      <c r="G197" s="472">
        <f t="shared" si="60"/>
        <v>0</v>
      </c>
    </row>
    <row r="198" spans="1:7" ht="19.899999999999999" customHeight="1">
      <c r="A198" s="515">
        <f t="shared" si="56"/>
        <v>0</v>
      </c>
      <c r="B198" s="478">
        <f t="shared" si="57"/>
        <v>0</v>
      </c>
      <c r="C198" s="469"/>
      <c r="D198" s="483"/>
      <c r="E198" s="472">
        <f t="shared" si="58"/>
        <v>0</v>
      </c>
      <c r="F198" s="475">
        <f t="shared" si="59"/>
        <v>0</v>
      </c>
      <c r="G198" s="472">
        <f t="shared" si="60"/>
        <v>0</v>
      </c>
    </row>
    <row r="199" spans="1:7" ht="19.899999999999999" customHeight="1">
      <c r="A199" s="515">
        <f t="shared" ref="A199" si="62">IFERROR(VLOOKUP(C199,T_Insumos,4,FALSE),0)</f>
        <v>0</v>
      </c>
      <c r="B199" s="478">
        <f t="shared" si="57"/>
        <v>0</v>
      </c>
      <c r="C199" s="478"/>
      <c r="D199" s="484"/>
      <c r="E199" s="472">
        <f t="shared" ref="E199" si="63">IFERROR(VLOOKUP(C199,T_Insumos,3,FALSE),0)</f>
        <v>0</v>
      </c>
      <c r="F199" s="475">
        <f>IF(C199="",0,IFERROR(VLOOKUP(COUNTIF($A$1:A199,"ANALISIS DE PRECIOS"),T_Rendimiento_Equipo,5,FALSE),0))</f>
        <v>0</v>
      </c>
      <c r="G199" s="472">
        <f t="shared" si="60"/>
        <v>0</v>
      </c>
    </row>
    <row r="200" spans="1:7" ht="19.899999999999999" customHeight="1">
      <c r="A200" s="516"/>
      <c r="B200" s="459"/>
      <c r="C200" s="163"/>
      <c r="D200" s="459"/>
      <c r="E200" s="460"/>
      <c r="F200" s="481" t="s">
        <v>27</v>
      </c>
      <c r="G200" s="518">
        <f>SUBTOTAL(9,G193:G199)</f>
        <v>0</v>
      </c>
    </row>
    <row r="201" spans="1:7" ht="19.899999999999999" customHeight="1">
      <c r="A201" s="513"/>
      <c r="B201" s="163"/>
      <c r="C201" s="455" t="s">
        <v>1013</v>
      </c>
      <c r="D201" s="459"/>
      <c r="E201" s="460"/>
      <c r="F201" s="461"/>
      <c r="G201" s="514"/>
    </row>
    <row r="202" spans="1:7" ht="19.899999999999999" customHeight="1">
      <c r="A202" s="677" t="s">
        <v>575</v>
      </c>
      <c r="B202" s="678"/>
      <c r="C202" s="679" t="s">
        <v>0</v>
      </c>
      <c r="D202" s="679" t="s">
        <v>1865</v>
      </c>
      <c r="E202" s="681" t="s">
        <v>23</v>
      </c>
      <c r="F202" s="683" t="s">
        <v>24</v>
      </c>
      <c r="G202" s="685" t="s">
        <v>25</v>
      </c>
    </row>
    <row r="203" spans="1:7" ht="19.899999999999999" customHeight="1">
      <c r="A203" s="477" t="s">
        <v>576</v>
      </c>
      <c r="B203" s="477" t="s">
        <v>577</v>
      </c>
      <c r="C203" s="680"/>
      <c r="D203" s="680"/>
      <c r="E203" s="682"/>
      <c r="F203" s="684"/>
      <c r="G203" s="686"/>
    </row>
    <row r="204" spans="1:7" ht="19.899999999999999" customHeight="1">
      <c r="A204" s="515">
        <f t="shared" ref="A204:A209" si="64">IFERROR(VLOOKUP(C204,T_Insumos,4,FALSE),0)</f>
        <v>0</v>
      </c>
      <c r="B204" s="478">
        <f t="shared" ref="B204:B209" si="65">IFERROR(VLOOKUP(C204,T_Insumos,5,FALSE),0)</f>
        <v>0</v>
      </c>
      <c r="C204" s="478"/>
      <c r="D204" s="526"/>
      <c r="E204" s="470"/>
      <c r="F204" s="472">
        <f t="shared" ref="F204:F214" si="66">IFERROR(VLOOKUP(C204,T_Insumos,3,FALSE),0)</f>
        <v>0</v>
      </c>
      <c r="G204" s="472">
        <f>ROUND(E204*F204,2)</f>
        <v>0</v>
      </c>
    </row>
    <row r="205" spans="1:7" ht="19.899999999999999" customHeight="1">
      <c r="A205" s="515">
        <f t="shared" si="64"/>
        <v>0</v>
      </c>
      <c r="B205" s="478">
        <f t="shared" si="65"/>
        <v>0</v>
      </c>
      <c r="C205" s="478"/>
      <c r="D205" s="526"/>
      <c r="E205" s="470"/>
      <c r="F205" s="472">
        <f t="shared" si="66"/>
        <v>0</v>
      </c>
      <c r="G205" s="472">
        <f t="shared" ref="G205:G214" si="67">ROUND(E205*F205,2)</f>
        <v>0</v>
      </c>
    </row>
    <row r="206" spans="1:7" ht="19.899999999999999" customHeight="1">
      <c r="A206" s="515">
        <f t="shared" si="64"/>
        <v>0</v>
      </c>
      <c r="B206" s="478">
        <f t="shared" si="65"/>
        <v>0</v>
      </c>
      <c r="C206" s="478"/>
      <c r="D206" s="526">
        <f t="shared" ref="D206:D214" si="68">IFERROR(VLOOKUP(C206,T_Insumos,2,FALSE),0)</f>
        <v>0</v>
      </c>
      <c r="E206" s="470"/>
      <c r="F206" s="472">
        <f t="shared" si="66"/>
        <v>0</v>
      </c>
      <c r="G206" s="472">
        <f t="shared" si="67"/>
        <v>0</v>
      </c>
    </row>
    <row r="207" spans="1:7" ht="19.899999999999999" customHeight="1">
      <c r="A207" s="515">
        <f t="shared" si="64"/>
        <v>0</v>
      </c>
      <c r="B207" s="478">
        <f t="shared" si="65"/>
        <v>0</v>
      </c>
      <c r="C207" s="478"/>
      <c r="D207" s="526">
        <f t="shared" si="68"/>
        <v>0</v>
      </c>
      <c r="E207" s="470"/>
      <c r="F207" s="472">
        <f t="shared" si="66"/>
        <v>0</v>
      </c>
      <c r="G207" s="472">
        <f t="shared" si="67"/>
        <v>0</v>
      </c>
    </row>
    <row r="208" spans="1:7" ht="19.899999999999999" customHeight="1">
      <c r="A208" s="515">
        <f t="shared" si="64"/>
        <v>0</v>
      </c>
      <c r="B208" s="478">
        <f t="shared" si="65"/>
        <v>0</v>
      </c>
      <c r="C208" s="478"/>
      <c r="D208" s="526">
        <f t="shared" si="68"/>
        <v>0</v>
      </c>
      <c r="E208" s="470"/>
      <c r="F208" s="472">
        <f t="shared" si="66"/>
        <v>0</v>
      </c>
      <c r="G208" s="472">
        <f t="shared" si="67"/>
        <v>0</v>
      </c>
    </row>
    <row r="209" spans="1:7" ht="19.899999999999999" customHeight="1">
      <c r="A209" s="515">
        <f t="shared" si="64"/>
        <v>0</v>
      </c>
      <c r="B209" s="478">
        <f t="shared" si="65"/>
        <v>0</v>
      </c>
      <c r="C209" s="478"/>
      <c r="D209" s="526">
        <f t="shared" si="68"/>
        <v>0</v>
      </c>
      <c r="E209" s="470"/>
      <c r="F209" s="472">
        <f t="shared" si="66"/>
        <v>0</v>
      </c>
      <c r="G209" s="472">
        <f t="shared" si="67"/>
        <v>0</v>
      </c>
    </row>
    <row r="210" spans="1:7" ht="19.899999999999999" customHeight="1">
      <c r="A210" s="515">
        <f t="shared" ref="A210:A214" si="69">IFERROR(VLOOKUP(C210,T_Insumos,4,FALSE),0)</f>
        <v>0</v>
      </c>
      <c r="B210" s="478">
        <f t="shared" ref="B210:B214" si="70">IFERROR(VLOOKUP(C210,T_Insumos,5,FALSE),0)</f>
        <v>0</v>
      </c>
      <c r="C210" s="478"/>
      <c r="D210" s="526">
        <f t="shared" si="68"/>
        <v>0</v>
      </c>
      <c r="E210" s="470"/>
      <c r="F210" s="472">
        <f t="shared" si="66"/>
        <v>0</v>
      </c>
      <c r="G210" s="472">
        <f t="shared" si="67"/>
        <v>0</v>
      </c>
    </row>
    <row r="211" spans="1:7" ht="19.899999999999999" customHeight="1">
      <c r="A211" s="515">
        <f t="shared" si="69"/>
        <v>0</v>
      </c>
      <c r="B211" s="478">
        <f t="shared" si="70"/>
        <v>0</v>
      </c>
      <c r="C211" s="478"/>
      <c r="D211" s="526">
        <f t="shared" si="68"/>
        <v>0</v>
      </c>
      <c r="E211" s="470"/>
      <c r="F211" s="472">
        <f t="shared" si="66"/>
        <v>0</v>
      </c>
      <c r="G211" s="472">
        <f t="shared" si="67"/>
        <v>0</v>
      </c>
    </row>
    <row r="212" spans="1:7" ht="19.899999999999999" customHeight="1">
      <c r="A212" s="515">
        <f t="shared" si="69"/>
        <v>0</v>
      </c>
      <c r="B212" s="478">
        <f t="shared" si="70"/>
        <v>0</v>
      </c>
      <c r="C212" s="478"/>
      <c r="D212" s="526">
        <f t="shared" si="68"/>
        <v>0</v>
      </c>
      <c r="E212" s="470"/>
      <c r="F212" s="472">
        <f t="shared" si="66"/>
        <v>0</v>
      </c>
      <c r="G212" s="472">
        <f t="shared" si="67"/>
        <v>0</v>
      </c>
    </row>
    <row r="213" spans="1:7" ht="19.899999999999999" customHeight="1">
      <c r="A213" s="515">
        <f t="shared" si="69"/>
        <v>0</v>
      </c>
      <c r="B213" s="478">
        <f t="shared" si="70"/>
        <v>0</v>
      </c>
      <c r="C213" s="478"/>
      <c r="D213" s="526">
        <f t="shared" si="68"/>
        <v>0</v>
      </c>
      <c r="E213" s="470"/>
      <c r="F213" s="472">
        <f t="shared" si="66"/>
        <v>0</v>
      </c>
      <c r="G213" s="472">
        <f t="shared" si="67"/>
        <v>0</v>
      </c>
    </row>
    <row r="214" spans="1:7" ht="19.899999999999999" customHeight="1">
      <c r="A214" s="515">
        <f t="shared" si="69"/>
        <v>0</v>
      </c>
      <c r="B214" s="478">
        <f t="shared" si="70"/>
        <v>0</v>
      </c>
      <c r="C214" s="478"/>
      <c r="D214" s="526">
        <f t="shared" si="68"/>
        <v>0</v>
      </c>
      <c r="E214" s="470"/>
      <c r="F214" s="472">
        <f t="shared" si="66"/>
        <v>0</v>
      </c>
      <c r="G214" s="472">
        <f t="shared" si="67"/>
        <v>0</v>
      </c>
    </row>
    <row r="215" spans="1:7" ht="19.899999999999999" customHeight="1">
      <c r="A215" s="513"/>
      <c r="B215" s="163"/>
      <c r="C215" s="163"/>
      <c r="D215" s="459"/>
      <c r="E215" s="460"/>
      <c r="F215" s="481" t="s">
        <v>28</v>
      </c>
      <c r="G215" s="518">
        <f>SUBTOTAL(9,G204:G214)</f>
        <v>0</v>
      </c>
    </row>
    <row r="216" spans="1:7" ht="19.899999999999999" customHeight="1">
      <c r="A216" s="513"/>
      <c r="B216" s="163"/>
      <c r="C216" s="455" t="s">
        <v>1014</v>
      </c>
      <c r="D216" s="459"/>
      <c r="E216" s="460"/>
      <c r="F216" s="461"/>
      <c r="G216" s="514"/>
    </row>
    <row r="217" spans="1:7" ht="19.899999999999999" customHeight="1">
      <c r="A217" s="677" t="s">
        <v>575</v>
      </c>
      <c r="B217" s="678"/>
      <c r="C217" s="679" t="s">
        <v>0</v>
      </c>
      <c r="D217" s="679" t="s">
        <v>1865</v>
      </c>
      <c r="E217" s="681" t="s">
        <v>23</v>
      </c>
      <c r="F217" s="683" t="s">
        <v>24</v>
      </c>
      <c r="G217" s="685" t="s">
        <v>25</v>
      </c>
    </row>
    <row r="218" spans="1:7" ht="19.899999999999999" customHeight="1">
      <c r="A218" s="477" t="s">
        <v>576</v>
      </c>
      <c r="B218" s="477" t="s">
        <v>577</v>
      </c>
      <c r="C218" s="680"/>
      <c r="D218" s="680"/>
      <c r="E218" s="682"/>
      <c r="F218" s="684"/>
      <c r="G218" s="686"/>
    </row>
    <row r="219" spans="1:7" ht="19.899999999999999" customHeight="1">
      <c r="A219" s="515">
        <f>IFERROR(VLOOKUP(C219,T_Insumos,4,FALSE),0)</f>
        <v>0</v>
      </c>
      <c r="B219" s="478">
        <f>IFERROR(VLOOKUP(C219,T_Insumos,5,FALSE),0)</f>
        <v>0</v>
      </c>
      <c r="C219" s="469"/>
      <c r="D219" s="526">
        <f>IF(C219=0,0,"$/tnkm")</f>
        <v>0</v>
      </c>
      <c r="E219" s="470"/>
      <c r="F219" s="472">
        <f>IFERROR(VLOOKUP(C219,T_Insumos,3,FALSE),0)</f>
        <v>0</v>
      </c>
      <c r="G219" s="472">
        <f>ROUND(E219*F219,2)</f>
        <v>0</v>
      </c>
    </row>
    <row r="220" spans="1:7" ht="19.899999999999999" customHeight="1">
      <c r="A220" s="515">
        <f>IFERROR(VLOOKUP(C220,T_Insumos,4,FALSE),0)</f>
        <v>0</v>
      </c>
      <c r="B220" s="478">
        <f>IFERROR(VLOOKUP(C220,T_Insumos,5,FALSE),0)</f>
        <v>0</v>
      </c>
      <c r="C220" s="469"/>
      <c r="D220" s="526">
        <f>IF(C220=0,0,"$/tnkm")</f>
        <v>0</v>
      </c>
      <c r="E220" s="486"/>
      <c r="F220" s="472">
        <f>IFERROR(VLOOKUP(C220,T_Insumos,3,FALSE),0)</f>
        <v>0</v>
      </c>
      <c r="G220" s="472">
        <f t="shared" ref="G220" si="71">ROUND(E220*F220,2)</f>
        <v>0</v>
      </c>
    </row>
    <row r="221" spans="1:7" ht="19.899999999999999" customHeight="1">
      <c r="A221" s="513"/>
      <c r="B221" s="163"/>
      <c r="C221" s="163"/>
      <c r="D221" s="459"/>
      <c r="E221" s="460"/>
      <c r="F221" s="481" t="s">
        <v>1015</v>
      </c>
      <c r="G221" s="518">
        <f>SUBTOTAL(9,G219:G220)</f>
        <v>0</v>
      </c>
    </row>
    <row r="222" spans="1:7" ht="19.899999999999999" customHeight="1">
      <c r="A222" s="516"/>
      <c r="B222" s="459"/>
      <c r="C222" s="163"/>
      <c r="D222" s="459"/>
      <c r="E222" s="460"/>
      <c r="F222" s="461"/>
      <c r="G222" s="514"/>
    </row>
    <row r="223" spans="1:7" ht="19.899999999999999" customHeight="1">
      <c r="A223" s="574" t="str">
        <f>B157</f>
        <v>2.2</v>
      </c>
      <c r="B223" s="571" t="str">
        <f ca="1">C157</f>
        <v>Replanteo y Ajustes</v>
      </c>
      <c r="C223" s="459"/>
      <c r="D223" s="459" t="s">
        <v>1831</v>
      </c>
      <c r="E223" s="572"/>
      <c r="F223" s="573" t="str">
        <f ca="1">"$/"&amp;G157</f>
        <v>$/gl.</v>
      </c>
      <c r="G223" s="523">
        <f>SUBTOTAL(9,G180:G222)</f>
        <v>0</v>
      </c>
    </row>
    <row r="224" spans="1:7" ht="19.899999999999999" customHeight="1">
      <c r="A224" s="519"/>
      <c r="B224" s="520"/>
      <c r="C224" s="521"/>
      <c r="D224" s="521" t="s">
        <v>2041</v>
      </c>
      <c r="E224" s="522"/>
      <c r="F224" s="575" t="str">
        <f ca="1">"$/"&amp;G157</f>
        <v>$/gl.</v>
      </c>
      <c r="G224" s="523">
        <f>ROUND(G223*Coeficiente_Paso,2)</f>
        <v>0</v>
      </c>
    </row>
    <row r="225" spans="1:7" ht="19.899999999999999" customHeight="1">
      <c r="A225" s="163"/>
      <c r="B225" s="163"/>
      <c r="C225" s="163"/>
      <c r="D225" s="163"/>
      <c r="E225" s="163"/>
      <c r="F225" s="163"/>
      <c r="G225" s="163"/>
    </row>
    <row r="226" spans="1:7" ht="19.899999999999999" customHeight="1">
      <c r="A226" s="687" t="s">
        <v>30</v>
      </c>
      <c r="B226" s="688"/>
      <c r="C226" s="688"/>
      <c r="D226" s="688"/>
      <c r="E226" s="688"/>
      <c r="F226" s="688"/>
      <c r="G226" s="689"/>
    </row>
    <row r="227" spans="1:7" ht="19.899999999999999" customHeight="1">
      <c r="A227" s="502" t="s">
        <v>710</v>
      </c>
      <c r="B227" s="453" t="str">
        <f>Comitente</f>
        <v>DEPARTAMENTO DE HIDRAULICA</v>
      </c>
      <c r="C227" s="454"/>
      <c r="D227" s="455"/>
      <c r="E227" s="455"/>
      <c r="F227" s="456"/>
      <c r="G227" s="503"/>
    </row>
    <row r="228" spans="1:7" ht="19.899999999999999" customHeight="1">
      <c r="A228" s="502" t="s">
        <v>711</v>
      </c>
      <c r="B228" s="453">
        <f>Contratista</f>
        <v>0</v>
      </c>
      <c r="C228" s="457"/>
      <c r="D228" s="457"/>
      <c r="E228" s="457"/>
      <c r="F228" s="453"/>
      <c r="G228" s="504"/>
    </row>
    <row r="229" spans="1:7" ht="19.899999999999999" customHeight="1">
      <c r="A229" s="502" t="s">
        <v>20</v>
      </c>
      <c r="B229" s="453" t="str">
        <f>Obra</f>
        <v>MEJORA DE LA RED DE RIEGO DEL VALLE DE JÁCHAL</v>
      </c>
      <c r="C229" s="457"/>
      <c r="D229" s="457"/>
      <c r="E229" s="457"/>
      <c r="F229" s="453" t="s">
        <v>31</v>
      </c>
      <c r="G229" s="504" t="str">
        <f>Fecha_Base</f>
        <v>XX/07/2020</v>
      </c>
    </row>
    <row r="230" spans="1:7" ht="19.899999999999999" customHeight="1">
      <c r="A230" s="505" t="s">
        <v>709</v>
      </c>
      <c r="B230" s="458" t="str">
        <f>Ubicación</f>
        <v>JACHAL</v>
      </c>
      <c r="C230" s="458"/>
      <c r="D230" s="459"/>
      <c r="E230" s="460"/>
      <c r="F230" s="461"/>
      <c r="G230" s="506"/>
    </row>
    <row r="231" spans="1:7" ht="19.899999999999999" customHeight="1">
      <c r="A231" s="505" t="s">
        <v>32</v>
      </c>
      <c r="B231" s="462">
        <f>IFERROR(VALUE(LEFT(B232,FIND(".",B232)-1)),"")</f>
        <v>3</v>
      </c>
      <c r="C231" s="163" t="str">
        <f ca="1">IFERROR(VLOOKUP(B231,T_Computo_Presupuesto,2,FALSE),0)</f>
        <v>AZUD PACHIMOCO</v>
      </c>
      <c r="D231" s="163"/>
      <c r="E231" s="460"/>
      <c r="F231" s="461"/>
      <c r="G231" s="506"/>
    </row>
    <row r="232" spans="1:7" ht="19.899999999999999" customHeight="1">
      <c r="A232" s="505" t="s">
        <v>21</v>
      </c>
      <c r="B232" s="463" t="str">
        <f>IFERROR(VLOOKUP(COUNTIF($A$1:A232,"ANALISIS DE PRECIOS"),T_NumeroItem,2,FALSE),"")</f>
        <v>3.1.1</v>
      </c>
      <c r="C232" s="690" t="str">
        <f ca="1">IFERROR(VLOOKUP(B232,T_Computo_Presupuesto,2,FALSE),0)</f>
        <v>Reemplazo de compuertas frontales azud</v>
      </c>
      <c r="D232" s="690"/>
      <c r="E232" s="690"/>
      <c r="F232" s="458" t="s">
        <v>22</v>
      </c>
      <c r="G232" s="507" t="str">
        <f ca="1">IFERROR(VLOOKUP(B232,T_Computo_Presupuesto,4,FALSE),0)</f>
        <v>gl.</v>
      </c>
    </row>
    <row r="233" spans="1:7" ht="19.899999999999999" customHeight="1">
      <c r="A233" s="505"/>
      <c r="B233" s="458"/>
      <c r="C233" s="163"/>
      <c r="D233" s="459"/>
      <c r="E233" s="460"/>
      <c r="F233" s="163"/>
      <c r="G233" s="508"/>
    </row>
    <row r="234" spans="1:7" ht="19.899999999999999" customHeight="1">
      <c r="A234" s="509"/>
      <c r="B234" s="464"/>
      <c r="C234" s="465" t="s">
        <v>998</v>
      </c>
      <c r="D234" s="464"/>
      <c r="E234" s="464"/>
      <c r="F234" s="464"/>
      <c r="G234" s="510"/>
    </row>
    <row r="235" spans="1:7" ht="19.899999999999999" customHeight="1">
      <c r="A235" s="505"/>
      <c r="B235" s="466"/>
      <c r="C235" s="163"/>
      <c r="D235" s="459"/>
      <c r="E235" s="460"/>
      <c r="F235" s="458"/>
      <c r="G235" s="507"/>
    </row>
    <row r="236" spans="1:7" ht="19.899999999999999" customHeight="1">
      <c r="A236" s="505"/>
      <c r="B236" s="466"/>
      <c r="C236" s="467" t="s">
        <v>999</v>
      </c>
      <c r="D236" s="468" t="s">
        <v>23</v>
      </c>
      <c r="E236" s="468" t="s">
        <v>1000</v>
      </c>
      <c r="F236" s="468" t="s">
        <v>1001</v>
      </c>
      <c r="G236" s="467" t="s">
        <v>1002</v>
      </c>
    </row>
    <row r="237" spans="1:7" ht="19.899999999999999" customHeight="1">
      <c r="A237" s="505"/>
      <c r="B237" s="466"/>
      <c r="C237" s="469"/>
      <c r="D237" s="470"/>
      <c r="E237" s="471">
        <f t="shared" ref="E237:E244" si="72">IFERROR(VLOOKUP(C237,T_Equipos,4,FALSE),0)</f>
        <v>0</v>
      </c>
      <c r="F237" s="472">
        <f t="shared" ref="F237:F244" si="73">IFERROR(VLOOKUP(C237,T_Equipos,5,FALSE),0)</f>
        <v>0</v>
      </c>
      <c r="G237" s="472">
        <f>ROUND(D237*F237,2)</f>
        <v>0</v>
      </c>
    </row>
    <row r="238" spans="1:7" ht="19.899999999999999" customHeight="1">
      <c r="A238" s="505"/>
      <c r="B238" s="466"/>
      <c r="C238" s="469"/>
      <c r="D238" s="470"/>
      <c r="E238" s="471">
        <f t="shared" si="72"/>
        <v>0</v>
      </c>
      <c r="F238" s="472">
        <f t="shared" si="73"/>
        <v>0</v>
      </c>
      <c r="G238" s="472">
        <f>ROUND(D238*F238,2)</f>
        <v>0</v>
      </c>
    </row>
    <row r="239" spans="1:7" ht="19.899999999999999" customHeight="1">
      <c r="A239" s="505"/>
      <c r="B239" s="466"/>
      <c r="C239" s="469"/>
      <c r="D239" s="470"/>
      <c r="E239" s="471">
        <f t="shared" si="72"/>
        <v>0</v>
      </c>
      <c r="F239" s="472">
        <f t="shared" si="73"/>
        <v>0</v>
      </c>
      <c r="G239" s="472">
        <f>ROUND(D239*F239,2)</f>
        <v>0</v>
      </c>
    </row>
    <row r="240" spans="1:7" ht="19.899999999999999" customHeight="1">
      <c r="A240" s="505"/>
      <c r="B240" s="466"/>
      <c r="C240" s="469"/>
      <c r="D240" s="470"/>
      <c r="E240" s="471">
        <f t="shared" si="72"/>
        <v>0</v>
      </c>
      <c r="F240" s="472">
        <f t="shared" si="73"/>
        <v>0</v>
      </c>
      <c r="G240" s="472">
        <f>ROUND(D240*F240,2)</f>
        <v>0</v>
      </c>
    </row>
    <row r="241" spans="1:7" ht="19.899999999999999" customHeight="1">
      <c r="A241" s="505"/>
      <c r="B241" s="466"/>
      <c r="C241" s="469"/>
      <c r="D241" s="470"/>
      <c r="E241" s="471">
        <f t="shared" si="72"/>
        <v>0</v>
      </c>
      <c r="F241" s="472">
        <f t="shared" si="73"/>
        <v>0</v>
      </c>
      <c r="G241" s="472">
        <f t="shared" ref="G241:G246" si="74">ROUND(D241*F241,2)</f>
        <v>0</v>
      </c>
    </row>
    <row r="242" spans="1:7" ht="19.899999999999999" customHeight="1">
      <c r="A242" s="505"/>
      <c r="B242" s="466"/>
      <c r="C242" s="469"/>
      <c r="D242" s="470"/>
      <c r="E242" s="471">
        <f t="shared" si="72"/>
        <v>0</v>
      </c>
      <c r="F242" s="472">
        <f t="shared" si="73"/>
        <v>0</v>
      </c>
      <c r="G242" s="472">
        <f t="shared" si="74"/>
        <v>0</v>
      </c>
    </row>
    <row r="243" spans="1:7" ht="19.899999999999999" customHeight="1">
      <c r="A243" s="505"/>
      <c r="B243" s="466"/>
      <c r="C243" s="469"/>
      <c r="D243" s="470"/>
      <c r="E243" s="471">
        <f t="shared" si="72"/>
        <v>0</v>
      </c>
      <c r="F243" s="472">
        <f t="shared" si="73"/>
        <v>0</v>
      </c>
      <c r="G243" s="472">
        <f t="shared" si="74"/>
        <v>0</v>
      </c>
    </row>
    <row r="244" spans="1:7" ht="19.899999999999999" customHeight="1">
      <c r="A244" s="505"/>
      <c r="B244" s="466"/>
      <c r="C244" s="469"/>
      <c r="D244" s="470"/>
      <c r="E244" s="471">
        <f t="shared" si="72"/>
        <v>0</v>
      </c>
      <c r="F244" s="472">
        <f t="shared" si="73"/>
        <v>0</v>
      </c>
      <c r="G244" s="472">
        <f t="shared" si="74"/>
        <v>0</v>
      </c>
    </row>
    <row r="245" spans="1:7" ht="19.899999999999999" customHeight="1">
      <c r="A245" s="505"/>
      <c r="B245" s="466"/>
      <c r="C245" s="469"/>
      <c r="D245" s="470"/>
      <c r="E245" s="471">
        <f t="shared" ref="E245:E246" si="75">IFERROR(VLOOKUP(C245,T_Equipos,4,FALSE),0)</f>
        <v>0</v>
      </c>
      <c r="F245" s="472">
        <f t="shared" ref="F245:F246" si="76">IFERROR(VLOOKUP(C245,T_Equipos,5,FALSE),0)</f>
        <v>0</v>
      </c>
      <c r="G245" s="472">
        <f t="shared" si="74"/>
        <v>0</v>
      </c>
    </row>
    <row r="246" spans="1:7" ht="19.899999999999999" customHeight="1">
      <c r="A246" s="505"/>
      <c r="B246" s="466"/>
      <c r="C246" s="469"/>
      <c r="D246" s="470"/>
      <c r="E246" s="471">
        <f t="shared" si="75"/>
        <v>0</v>
      </c>
      <c r="F246" s="472">
        <f t="shared" si="76"/>
        <v>0</v>
      </c>
      <c r="G246" s="472">
        <f t="shared" si="74"/>
        <v>0</v>
      </c>
    </row>
    <row r="247" spans="1:7" ht="19.899999999999999" customHeight="1">
      <c r="A247" s="505"/>
      <c r="B247" s="466"/>
      <c r="C247" s="163"/>
      <c r="D247" s="163"/>
      <c r="E247" s="473"/>
      <c r="F247" s="458"/>
      <c r="G247" s="507"/>
    </row>
    <row r="248" spans="1:7" ht="19.899999999999999" customHeight="1">
      <c r="A248" s="505"/>
      <c r="B248" s="163"/>
      <c r="C248" s="455" t="s">
        <v>1003</v>
      </c>
      <c r="D248" s="458" t="s">
        <v>1000</v>
      </c>
      <c r="E248" s="524">
        <f>SUMPRODUCT(D237:D246,E237:E246)</f>
        <v>0</v>
      </c>
      <c r="F248" s="458" t="s">
        <v>1004</v>
      </c>
      <c r="G248" s="525">
        <f>SUM(G237:G246)</f>
        <v>0</v>
      </c>
    </row>
    <row r="249" spans="1:7" ht="19.899999999999999" customHeight="1">
      <c r="A249" s="505"/>
      <c r="B249" s="466"/>
      <c r="C249" s="474"/>
      <c r="D249" s="473"/>
      <c r="E249" s="460"/>
      <c r="F249" s="458"/>
      <c r="G249" s="511"/>
    </row>
    <row r="250" spans="1:7" ht="19.899999999999999" customHeight="1">
      <c r="A250" s="512"/>
      <c r="B250" s="466"/>
      <c r="C250" s="458" t="s">
        <v>1005</v>
      </c>
      <c r="D250" s="475"/>
      <c r="E250" s="476" t="str">
        <f ca="1">G232&amp;"/día"</f>
        <v>gl./día</v>
      </c>
      <c r="F250" s="452"/>
      <c r="G250" s="507"/>
    </row>
    <row r="251" spans="1:7" ht="19.899999999999999" customHeight="1">
      <c r="A251" s="505"/>
      <c r="B251" s="466"/>
      <c r="C251" s="163"/>
      <c r="D251" s="459"/>
      <c r="E251" s="460"/>
      <c r="F251" s="458"/>
      <c r="G251" s="507"/>
    </row>
    <row r="252" spans="1:7" ht="19.899999999999999" customHeight="1">
      <c r="A252" s="677" t="s">
        <v>575</v>
      </c>
      <c r="B252" s="678"/>
      <c r="C252" s="679" t="s">
        <v>0</v>
      </c>
      <c r="D252" s="691" t="s">
        <v>1864</v>
      </c>
      <c r="E252" s="691" t="s">
        <v>1863</v>
      </c>
      <c r="F252" s="683" t="s">
        <v>1006</v>
      </c>
      <c r="G252" s="685" t="s">
        <v>25</v>
      </c>
    </row>
    <row r="253" spans="1:7" ht="19.899999999999999" customHeight="1">
      <c r="A253" s="477" t="s">
        <v>576</v>
      </c>
      <c r="B253" s="477" t="s">
        <v>577</v>
      </c>
      <c r="C253" s="680"/>
      <c r="D253" s="692"/>
      <c r="E253" s="682"/>
      <c r="F253" s="684"/>
      <c r="G253" s="686"/>
    </row>
    <row r="254" spans="1:7" ht="19.899999999999999" customHeight="1">
      <c r="A254" s="513"/>
      <c r="B254" s="163"/>
      <c r="C254" s="455" t="s">
        <v>1007</v>
      </c>
      <c r="D254" s="460"/>
      <c r="E254" s="460"/>
      <c r="F254" s="163"/>
      <c r="G254" s="514"/>
    </row>
    <row r="255" spans="1:7" ht="19.899999999999999" customHeight="1">
      <c r="A255" s="515">
        <f t="shared" ref="A255:A261" si="77">IFERROR(VLOOKUP(C255,T_Insumos,4,FALSE),0)</f>
        <v>0</v>
      </c>
      <c r="B255" s="478">
        <f t="shared" ref="B255:B261" si="78">IFERROR(VLOOKUP(C255,T_Insumos,5,FALSE),0)</f>
        <v>0</v>
      </c>
      <c r="C255" s="469"/>
      <c r="D255" s="479">
        <f t="shared" ref="D255:D262" si="79">IFERROR(VLOOKUP(C255,T_Insumos,3,FALSE),0)</f>
        <v>0</v>
      </c>
      <c r="E255" s="472">
        <f>D255*$G$248</f>
        <v>0</v>
      </c>
      <c r="F255" s="475">
        <f>+$D$250</f>
        <v>0</v>
      </c>
      <c r="G255" s="472">
        <f>IFERROR(ROUND(E255/F255,2),0)</f>
        <v>0</v>
      </c>
    </row>
    <row r="256" spans="1:7" ht="19.899999999999999" customHeight="1">
      <c r="A256" s="515">
        <f t="shared" si="77"/>
        <v>0</v>
      </c>
      <c r="B256" s="478">
        <f t="shared" si="78"/>
        <v>0</v>
      </c>
      <c r="C256" s="469"/>
      <c r="D256" s="479">
        <f t="shared" si="79"/>
        <v>0</v>
      </c>
      <c r="E256" s="472">
        <f>D256*$G$248</f>
        <v>0</v>
      </c>
      <c r="F256" s="475">
        <f t="shared" ref="F256:F258" si="80">+$D$250</f>
        <v>0</v>
      </c>
      <c r="G256" s="472">
        <f t="shared" ref="G256:G263" si="81">IFERROR(ROUND(E256/F256,2),0)</f>
        <v>0</v>
      </c>
    </row>
    <row r="257" spans="1:7" ht="19.899999999999999" customHeight="1">
      <c r="A257" s="515">
        <f t="shared" si="77"/>
        <v>0</v>
      </c>
      <c r="B257" s="478">
        <f t="shared" si="78"/>
        <v>0</v>
      </c>
      <c r="C257" s="480"/>
      <c r="D257" s="479">
        <f t="shared" si="79"/>
        <v>0</v>
      </c>
      <c r="E257" s="472">
        <f>D257*$E$248</f>
        <v>0</v>
      </c>
      <c r="F257" s="475">
        <f t="shared" si="80"/>
        <v>0</v>
      </c>
      <c r="G257" s="472">
        <f t="shared" si="81"/>
        <v>0</v>
      </c>
    </row>
    <row r="258" spans="1:7" ht="19.899999999999999" customHeight="1">
      <c r="A258" s="515">
        <f t="shared" si="77"/>
        <v>0</v>
      </c>
      <c r="B258" s="478">
        <f t="shared" si="78"/>
        <v>0</v>
      </c>
      <c r="C258" s="480"/>
      <c r="D258" s="479">
        <f t="shared" si="79"/>
        <v>0</v>
      </c>
      <c r="E258" s="472">
        <f>D258*$E$248</f>
        <v>0</v>
      </c>
      <c r="F258" s="475">
        <f t="shared" si="80"/>
        <v>0</v>
      </c>
      <c r="G258" s="472">
        <f t="shared" si="81"/>
        <v>0</v>
      </c>
    </row>
    <row r="259" spans="1:7" ht="19.899999999999999" customHeight="1">
      <c r="A259" s="515">
        <f t="shared" si="77"/>
        <v>0</v>
      </c>
      <c r="B259" s="478">
        <f t="shared" si="78"/>
        <v>0</v>
      </c>
      <c r="C259" s="480"/>
      <c r="D259" s="479">
        <f t="shared" si="79"/>
        <v>0</v>
      </c>
      <c r="E259" s="472"/>
      <c r="F259" s="475">
        <f>IF(C259="",0,IFERROR(VLOOKUP(COUNTIF($A$1:A259,"ANALISIS DE PRECIOS"),T_Rendimiento_Equipo,5,FALSE),0))</f>
        <v>0</v>
      </c>
      <c r="G259" s="472">
        <f t="shared" si="81"/>
        <v>0</v>
      </c>
    </row>
    <row r="260" spans="1:7" ht="19.899999999999999" customHeight="1">
      <c r="A260" s="515">
        <f t="shared" si="77"/>
        <v>0</v>
      </c>
      <c r="B260" s="478">
        <f t="shared" si="78"/>
        <v>0</v>
      </c>
      <c r="C260" s="480"/>
      <c r="D260" s="479">
        <f t="shared" si="79"/>
        <v>0</v>
      </c>
      <c r="E260" s="472"/>
      <c r="F260" s="475">
        <f>IF(C260="",0,IFERROR(VLOOKUP(COUNTIF($A$1:A260,"ANALISIS DE PRECIOS"),T_Rendimiento_Equipo,5,FALSE),0))</f>
        <v>0</v>
      </c>
      <c r="G260" s="472">
        <f t="shared" si="81"/>
        <v>0</v>
      </c>
    </row>
    <row r="261" spans="1:7" ht="19.899999999999999" customHeight="1">
      <c r="A261" s="515">
        <f t="shared" si="77"/>
        <v>0</v>
      </c>
      <c r="B261" s="478">
        <f t="shared" si="78"/>
        <v>0</v>
      </c>
      <c r="C261" s="480"/>
      <c r="D261" s="479">
        <f t="shared" si="79"/>
        <v>0</v>
      </c>
      <c r="E261" s="472"/>
      <c r="F261" s="475">
        <f>IF(C261="",0,IFERROR(VLOOKUP(COUNTIF($A$1:A261,"ANALISIS DE PRECIOS"),T_Rendimiento_Equipo,5,FALSE),0))</f>
        <v>0</v>
      </c>
      <c r="G261" s="472">
        <f t="shared" si="81"/>
        <v>0</v>
      </c>
    </row>
    <row r="262" spans="1:7" ht="19.899999999999999" customHeight="1">
      <c r="A262" s="515">
        <f t="shared" ref="A262:A263" si="82">IFERROR(VLOOKUP(C262,T_Insumos,4,FALSE),0)</f>
        <v>0</v>
      </c>
      <c r="B262" s="478">
        <f t="shared" ref="B262:B263" si="83">IFERROR(VLOOKUP(C262,T_Insumos,5,FALSE),0)</f>
        <v>0</v>
      </c>
      <c r="C262" s="480"/>
      <c r="D262" s="479">
        <f t="shared" si="79"/>
        <v>0</v>
      </c>
      <c r="E262" s="472"/>
      <c r="F262" s="475">
        <f>IF(C262="",0,IFERROR(VLOOKUP(COUNTIF($A$1:A262,"ANALISIS DE PRECIOS"),T_Rendimiento_Equipo,5,FALSE),0))</f>
        <v>0</v>
      </c>
      <c r="G262" s="472">
        <f t="shared" si="81"/>
        <v>0</v>
      </c>
    </row>
    <row r="263" spans="1:7" ht="19.899999999999999" customHeight="1">
      <c r="A263" s="515">
        <f t="shared" si="82"/>
        <v>0</v>
      </c>
      <c r="B263" s="478">
        <f t="shared" si="83"/>
        <v>0</v>
      </c>
      <c r="C263" s="469"/>
      <c r="D263" s="479">
        <f t="shared" ref="D263" si="84">IFERROR(VLOOKUP(C263,T_Insumos,3,FALSE),0)</f>
        <v>0</v>
      </c>
      <c r="E263" s="472"/>
      <c r="F263" s="475">
        <f>IF(C263="",0,IFERROR(VLOOKUP(COUNTIF($A$1:A263,"ANALISIS DE PRECIOS"),T_Rendimiento_Equipo,5,FALSE),0))</f>
        <v>0</v>
      </c>
      <c r="G263" s="472">
        <f t="shared" si="81"/>
        <v>0</v>
      </c>
    </row>
    <row r="264" spans="1:7" ht="19.899999999999999" customHeight="1">
      <c r="A264" s="516"/>
      <c r="B264" s="459"/>
      <c r="C264" s="163"/>
      <c r="D264" s="459"/>
      <c r="E264" s="460"/>
      <c r="F264" s="481" t="s">
        <v>26</v>
      </c>
      <c r="G264" s="517">
        <f>SUBTOTAL(9,G255:G263)</f>
        <v>0</v>
      </c>
    </row>
    <row r="265" spans="1:7" ht="19.899999999999999" customHeight="1">
      <c r="A265" s="513"/>
      <c r="B265" s="163"/>
      <c r="C265" s="455" t="s">
        <v>712</v>
      </c>
      <c r="D265" s="459"/>
      <c r="E265" s="460"/>
      <c r="F265" s="461"/>
      <c r="G265" s="514"/>
    </row>
    <row r="266" spans="1:7" ht="19.899999999999999" customHeight="1">
      <c r="A266" s="677" t="s">
        <v>575</v>
      </c>
      <c r="B266" s="678"/>
      <c r="C266" s="679" t="s">
        <v>0</v>
      </c>
      <c r="D266" s="681" t="s">
        <v>23</v>
      </c>
      <c r="E266" s="681" t="s">
        <v>1830</v>
      </c>
      <c r="F266" s="683" t="s">
        <v>1006</v>
      </c>
      <c r="G266" s="685" t="s">
        <v>25</v>
      </c>
    </row>
    <row r="267" spans="1:7" ht="19.899999999999999" customHeight="1">
      <c r="A267" s="477" t="s">
        <v>576</v>
      </c>
      <c r="B267" s="477" t="s">
        <v>577</v>
      </c>
      <c r="C267" s="680"/>
      <c r="D267" s="682"/>
      <c r="E267" s="682"/>
      <c r="F267" s="684"/>
      <c r="G267" s="686"/>
    </row>
    <row r="268" spans="1:7" ht="19.899999999999999" customHeight="1">
      <c r="A268" s="515"/>
      <c r="B268" s="478"/>
      <c r="C268" s="482"/>
      <c r="D268" s="475">
        <v>0</v>
      </c>
      <c r="E268" s="472">
        <f t="shared" ref="E268:E271" si="85">IFERROR(VLOOKUP(C268,T_Insumos,3,FALSE),0)</f>
        <v>0</v>
      </c>
      <c r="F268" s="475">
        <f>+$D$250</f>
        <v>0</v>
      </c>
      <c r="G268" s="472">
        <f>IFERROR(ROUND(D268*E268/F268,2),0)</f>
        <v>0</v>
      </c>
    </row>
    <row r="269" spans="1:7" ht="19.899999999999999" customHeight="1">
      <c r="A269" s="515"/>
      <c r="B269" s="478"/>
      <c r="C269" s="469"/>
      <c r="D269" s="475">
        <v>2</v>
      </c>
      <c r="E269" s="472">
        <f t="shared" si="85"/>
        <v>0</v>
      </c>
      <c r="F269" s="475">
        <f>+$D$250</f>
        <v>0</v>
      </c>
      <c r="G269" s="472">
        <f t="shared" ref="G269:G274" si="86">IFERROR(ROUND(D269*E269/F269,2),0)</f>
        <v>0</v>
      </c>
    </row>
    <row r="270" spans="1:7" ht="19.899999999999999" customHeight="1">
      <c r="A270" s="515"/>
      <c r="B270" s="478"/>
      <c r="C270" s="469"/>
      <c r="D270" s="475">
        <v>0</v>
      </c>
      <c r="E270" s="472">
        <f t="shared" si="85"/>
        <v>0</v>
      </c>
      <c r="F270" s="475">
        <f t="shared" ref="F270:F273" si="87">+$D$250</f>
        <v>0</v>
      </c>
      <c r="G270" s="472">
        <f t="shared" si="86"/>
        <v>0</v>
      </c>
    </row>
    <row r="271" spans="1:7" ht="19.899999999999999" customHeight="1">
      <c r="A271" s="515"/>
      <c r="B271" s="478"/>
      <c r="C271" s="469"/>
      <c r="D271" s="475">
        <v>6</v>
      </c>
      <c r="E271" s="472">
        <f t="shared" si="85"/>
        <v>0</v>
      </c>
      <c r="F271" s="475">
        <f t="shared" si="87"/>
        <v>0</v>
      </c>
      <c r="G271" s="472">
        <f t="shared" si="86"/>
        <v>0</v>
      </c>
    </row>
    <row r="272" spans="1:7" ht="19.899999999999999" customHeight="1">
      <c r="A272" s="515">
        <f t="shared" ref="A272:A274" si="88">IFERROR(VLOOKUP(C272,T_Insumos,4,FALSE),0)</f>
        <v>0</v>
      </c>
      <c r="B272" s="478">
        <f t="shared" ref="B272:B274" si="89">IFERROR(VLOOKUP(C272,T_Insumos,5,FALSE),0)</f>
        <v>0</v>
      </c>
      <c r="C272" s="469"/>
      <c r="D272" s="475"/>
      <c r="E272" s="472">
        <f t="shared" ref="E272:E274" si="90">IFERROR(VLOOKUP(C272,T_Insumos,3,FALSE),0)</f>
        <v>0</v>
      </c>
      <c r="F272" s="475">
        <f>IF(C272="",0,IFERROR(VLOOKUP(COUNTIF($A$1:A272,"ANALISIS DE PRECIOS"),T_Rendimiento_Equipo,5,FALSE),0))</f>
        <v>0</v>
      </c>
      <c r="G272" s="472">
        <f t="shared" si="86"/>
        <v>0</v>
      </c>
    </row>
    <row r="273" spans="1:7" ht="19.899999999999999" customHeight="1">
      <c r="A273" s="515">
        <f t="shared" si="88"/>
        <v>0</v>
      </c>
      <c r="B273" s="478">
        <f t="shared" si="89"/>
        <v>0</v>
      </c>
      <c r="C273" s="469"/>
      <c r="D273" s="483"/>
      <c r="E273" s="472">
        <f>SUMPRODUCT(D268:D271,E268:E271)</f>
        <v>0</v>
      </c>
      <c r="F273" s="475">
        <f t="shared" si="87"/>
        <v>0</v>
      </c>
      <c r="G273" s="472">
        <f t="shared" si="86"/>
        <v>0</v>
      </c>
    </row>
    <row r="274" spans="1:7" ht="19.899999999999999" customHeight="1">
      <c r="A274" s="515">
        <f t="shared" si="88"/>
        <v>0</v>
      </c>
      <c r="B274" s="478">
        <f t="shared" si="89"/>
        <v>0</v>
      </c>
      <c r="C274" s="478"/>
      <c r="D274" s="484"/>
      <c r="E274" s="472">
        <f t="shared" si="90"/>
        <v>0</v>
      </c>
      <c r="F274" s="475">
        <f>IF(C274="",0,IFERROR(VLOOKUP(COUNTIF($A$1:A274,"ANALISIS DE PRECIOS"),T_Rendimiento_Equipo,5,FALSE),0))</f>
        <v>0</v>
      </c>
      <c r="G274" s="472">
        <f t="shared" si="86"/>
        <v>0</v>
      </c>
    </row>
    <row r="275" spans="1:7" ht="19.899999999999999" customHeight="1">
      <c r="A275" s="516"/>
      <c r="B275" s="459"/>
      <c r="C275" s="163"/>
      <c r="D275" s="459"/>
      <c r="E275" s="460"/>
      <c r="F275" s="481" t="s">
        <v>27</v>
      </c>
      <c r="G275" s="518">
        <f>SUBTOTAL(9,G268:G274)</f>
        <v>0</v>
      </c>
    </row>
    <row r="276" spans="1:7" ht="19.899999999999999" customHeight="1">
      <c r="A276" s="513"/>
      <c r="B276" s="163"/>
      <c r="C276" s="455" t="s">
        <v>1013</v>
      </c>
      <c r="D276" s="459"/>
      <c r="E276" s="460"/>
      <c r="F276" s="461"/>
      <c r="G276" s="514"/>
    </row>
    <row r="277" spans="1:7" ht="19.899999999999999" customHeight="1">
      <c r="A277" s="677" t="s">
        <v>575</v>
      </c>
      <c r="B277" s="678"/>
      <c r="C277" s="679" t="s">
        <v>0</v>
      </c>
      <c r="D277" s="679" t="s">
        <v>1865</v>
      </c>
      <c r="E277" s="681" t="s">
        <v>23</v>
      </c>
      <c r="F277" s="683" t="s">
        <v>24</v>
      </c>
      <c r="G277" s="685" t="s">
        <v>25</v>
      </c>
    </row>
    <row r="278" spans="1:7" ht="19.899999999999999" customHeight="1">
      <c r="A278" s="477" t="s">
        <v>576</v>
      </c>
      <c r="B278" s="477" t="s">
        <v>577</v>
      </c>
      <c r="C278" s="680"/>
      <c r="D278" s="680"/>
      <c r="E278" s="682"/>
      <c r="F278" s="684"/>
      <c r="G278" s="686"/>
    </row>
    <row r="279" spans="1:7" ht="19.899999999999999" customHeight="1">
      <c r="A279" s="515">
        <f t="shared" ref="A279:A289" si="91">IFERROR(VLOOKUP(C279,T_Insumos,4,FALSE),0)</f>
        <v>0</v>
      </c>
      <c r="B279" s="478">
        <f t="shared" ref="B279:B289" si="92">IFERROR(VLOOKUP(C279,T_Insumos,5,FALSE),0)</f>
        <v>0</v>
      </c>
      <c r="C279" s="478"/>
      <c r="D279" s="526">
        <f t="shared" ref="D279:D289" si="93">IFERROR(VLOOKUP(C279,T_Insumos,2,FALSE),0)</f>
        <v>0</v>
      </c>
      <c r="E279" s="470"/>
      <c r="F279" s="472">
        <f t="shared" ref="F279:F289" si="94">IFERROR(VLOOKUP(C279,T_Insumos,3,FALSE),0)</f>
        <v>0</v>
      </c>
      <c r="G279" s="472">
        <f>ROUND(E279*F279,2)</f>
        <v>0</v>
      </c>
    </row>
    <row r="280" spans="1:7" ht="19.899999999999999" customHeight="1">
      <c r="A280" s="515">
        <f t="shared" si="91"/>
        <v>0</v>
      </c>
      <c r="B280" s="478">
        <f t="shared" si="92"/>
        <v>0</v>
      </c>
      <c r="C280" s="478"/>
      <c r="D280" s="526">
        <f t="shared" si="93"/>
        <v>0</v>
      </c>
      <c r="E280" s="470"/>
      <c r="F280" s="472">
        <f t="shared" si="94"/>
        <v>0</v>
      </c>
      <c r="G280" s="472">
        <f t="shared" ref="G280:G289" si="95">ROUND(E280*F280,2)</f>
        <v>0</v>
      </c>
    </row>
    <row r="281" spans="1:7" ht="19.899999999999999" customHeight="1">
      <c r="A281" s="515">
        <f t="shared" si="91"/>
        <v>0</v>
      </c>
      <c r="B281" s="478">
        <f t="shared" si="92"/>
        <v>0</v>
      </c>
      <c r="C281" s="478"/>
      <c r="D281" s="526">
        <f t="shared" si="93"/>
        <v>0</v>
      </c>
      <c r="E281" s="470"/>
      <c r="F281" s="472">
        <f t="shared" si="94"/>
        <v>0</v>
      </c>
      <c r="G281" s="472">
        <f t="shared" si="95"/>
        <v>0</v>
      </c>
    </row>
    <row r="282" spans="1:7" ht="19.899999999999999" customHeight="1">
      <c r="A282" s="515">
        <f t="shared" si="91"/>
        <v>0</v>
      </c>
      <c r="B282" s="478">
        <f t="shared" si="92"/>
        <v>0</v>
      </c>
      <c r="C282" s="478"/>
      <c r="D282" s="526">
        <f t="shared" si="93"/>
        <v>0</v>
      </c>
      <c r="E282" s="470"/>
      <c r="F282" s="472">
        <f t="shared" si="94"/>
        <v>0</v>
      </c>
      <c r="G282" s="472">
        <f t="shared" si="95"/>
        <v>0</v>
      </c>
    </row>
    <row r="283" spans="1:7" ht="19.899999999999999" customHeight="1">
      <c r="A283" s="515">
        <f t="shared" si="91"/>
        <v>0</v>
      </c>
      <c r="B283" s="478">
        <f t="shared" si="92"/>
        <v>0</v>
      </c>
      <c r="C283" s="478"/>
      <c r="D283" s="526">
        <f t="shared" si="93"/>
        <v>0</v>
      </c>
      <c r="E283" s="470"/>
      <c r="F283" s="472">
        <f t="shared" si="94"/>
        <v>0</v>
      </c>
      <c r="G283" s="472">
        <f t="shared" si="95"/>
        <v>0</v>
      </c>
    </row>
    <row r="284" spans="1:7" ht="19.899999999999999" customHeight="1">
      <c r="A284" s="515">
        <f t="shared" si="91"/>
        <v>0</v>
      </c>
      <c r="B284" s="478">
        <f t="shared" si="92"/>
        <v>0</v>
      </c>
      <c r="C284" s="478"/>
      <c r="D284" s="526">
        <f t="shared" si="93"/>
        <v>0</v>
      </c>
      <c r="E284" s="470"/>
      <c r="F284" s="472">
        <f t="shared" si="94"/>
        <v>0</v>
      </c>
      <c r="G284" s="472">
        <f t="shared" si="95"/>
        <v>0</v>
      </c>
    </row>
    <row r="285" spans="1:7" ht="19.899999999999999" customHeight="1">
      <c r="A285" s="515">
        <f t="shared" si="91"/>
        <v>0</v>
      </c>
      <c r="B285" s="478">
        <f t="shared" si="92"/>
        <v>0</v>
      </c>
      <c r="C285" s="478"/>
      <c r="D285" s="526">
        <f t="shared" si="93"/>
        <v>0</v>
      </c>
      <c r="E285" s="470"/>
      <c r="F285" s="472">
        <f t="shared" si="94"/>
        <v>0</v>
      </c>
      <c r="G285" s="472">
        <f t="shared" si="95"/>
        <v>0</v>
      </c>
    </row>
    <row r="286" spans="1:7" ht="19.899999999999999" customHeight="1">
      <c r="A286" s="515">
        <f t="shared" si="91"/>
        <v>0</v>
      </c>
      <c r="B286" s="478">
        <f t="shared" si="92"/>
        <v>0</v>
      </c>
      <c r="C286" s="478"/>
      <c r="D286" s="526">
        <f t="shared" si="93"/>
        <v>0</v>
      </c>
      <c r="E286" s="470"/>
      <c r="F286" s="472">
        <f t="shared" si="94"/>
        <v>0</v>
      </c>
      <c r="G286" s="472">
        <f t="shared" si="95"/>
        <v>0</v>
      </c>
    </row>
    <row r="287" spans="1:7" ht="19.899999999999999" customHeight="1">
      <c r="A287" s="515">
        <f t="shared" si="91"/>
        <v>0</v>
      </c>
      <c r="B287" s="478">
        <f t="shared" si="92"/>
        <v>0</v>
      </c>
      <c r="C287" s="478"/>
      <c r="D287" s="526">
        <f t="shared" si="93"/>
        <v>0</v>
      </c>
      <c r="E287" s="470"/>
      <c r="F287" s="472">
        <f t="shared" si="94"/>
        <v>0</v>
      </c>
      <c r="G287" s="472">
        <f t="shared" si="95"/>
        <v>0</v>
      </c>
    </row>
    <row r="288" spans="1:7" ht="19.899999999999999" customHeight="1">
      <c r="A288" s="515">
        <f t="shared" si="91"/>
        <v>0</v>
      </c>
      <c r="B288" s="478">
        <f t="shared" si="92"/>
        <v>0</v>
      </c>
      <c r="C288" s="478"/>
      <c r="D288" s="526">
        <f t="shared" si="93"/>
        <v>0</v>
      </c>
      <c r="E288" s="470"/>
      <c r="F288" s="472">
        <f t="shared" si="94"/>
        <v>0</v>
      </c>
      <c r="G288" s="472">
        <f t="shared" si="95"/>
        <v>0</v>
      </c>
    </row>
    <row r="289" spans="1:8" ht="19.899999999999999" customHeight="1">
      <c r="A289" s="515">
        <f t="shared" si="91"/>
        <v>0</v>
      </c>
      <c r="B289" s="478">
        <f t="shared" si="92"/>
        <v>0</v>
      </c>
      <c r="C289" s="478"/>
      <c r="D289" s="526">
        <f t="shared" si="93"/>
        <v>0</v>
      </c>
      <c r="E289" s="470"/>
      <c r="F289" s="472">
        <f t="shared" si="94"/>
        <v>0</v>
      </c>
      <c r="G289" s="472">
        <f t="shared" si="95"/>
        <v>0</v>
      </c>
    </row>
    <row r="290" spans="1:8" ht="19.899999999999999" customHeight="1">
      <c r="A290" s="513"/>
      <c r="B290" s="163"/>
      <c r="C290" s="163"/>
      <c r="D290" s="459"/>
      <c r="E290" s="460"/>
      <c r="F290" s="481" t="s">
        <v>28</v>
      </c>
      <c r="G290" s="518">
        <f>SUBTOTAL(9,G279:G289)</f>
        <v>0</v>
      </c>
    </row>
    <row r="291" spans="1:8" ht="19.899999999999999" customHeight="1">
      <c r="A291" s="513"/>
      <c r="B291" s="163"/>
      <c r="C291" s="455" t="s">
        <v>1014</v>
      </c>
      <c r="D291" s="459"/>
      <c r="E291" s="460"/>
      <c r="F291" s="461"/>
      <c r="G291" s="514"/>
    </row>
    <row r="292" spans="1:8" ht="19.899999999999999" customHeight="1">
      <c r="A292" s="677" t="s">
        <v>575</v>
      </c>
      <c r="B292" s="678"/>
      <c r="C292" s="679" t="s">
        <v>0</v>
      </c>
      <c r="D292" s="679" t="s">
        <v>1865</v>
      </c>
      <c r="E292" s="681" t="s">
        <v>23</v>
      </c>
      <c r="F292" s="683" t="s">
        <v>24</v>
      </c>
      <c r="G292" s="685" t="s">
        <v>25</v>
      </c>
    </row>
    <row r="293" spans="1:8" ht="19.899999999999999" customHeight="1">
      <c r="A293" s="477" t="s">
        <v>576</v>
      </c>
      <c r="B293" s="477" t="s">
        <v>577</v>
      </c>
      <c r="C293" s="680"/>
      <c r="D293" s="680"/>
      <c r="E293" s="682"/>
      <c r="F293" s="684"/>
      <c r="G293" s="686"/>
    </row>
    <row r="294" spans="1:8" ht="19.899999999999999" customHeight="1">
      <c r="A294" s="515">
        <f>IFERROR(VLOOKUP(C294,T_Insumos,4,FALSE),0)</f>
        <v>0</v>
      </c>
      <c r="B294" s="478">
        <f>IFERROR(VLOOKUP(C294,T_Insumos,5,FALSE),0)</f>
        <v>0</v>
      </c>
      <c r="C294" s="469"/>
      <c r="D294" s="526">
        <f>IF(C294=0,0,"$/tnkm")</f>
        <v>0</v>
      </c>
      <c r="E294" s="470"/>
      <c r="F294" s="472">
        <f>IFERROR(VLOOKUP(C294,T_Insumos,3,FALSE),0)</f>
        <v>0</v>
      </c>
      <c r="G294" s="472">
        <f>ROUND(E294*F294,2)</f>
        <v>0</v>
      </c>
    </row>
    <row r="295" spans="1:8" ht="19.899999999999999" customHeight="1">
      <c r="A295" s="515">
        <f>IFERROR(VLOOKUP(C295,T_Insumos,4,FALSE),0)</f>
        <v>0</v>
      </c>
      <c r="B295" s="478">
        <f>IFERROR(VLOOKUP(C295,T_Insumos,5,FALSE),0)</f>
        <v>0</v>
      </c>
      <c r="C295" s="469"/>
      <c r="D295" s="526">
        <f>IF(C295=0,0,"$/tnkm")</f>
        <v>0</v>
      </c>
      <c r="E295" s="486"/>
      <c r="F295" s="472">
        <f>IFERROR(VLOOKUP(C295,T_Insumos,3,FALSE),0)</f>
        <v>0</v>
      </c>
      <c r="G295" s="472">
        <f t="shared" ref="G295" si="96">ROUND(E295*F295,2)</f>
        <v>0</v>
      </c>
    </row>
    <row r="296" spans="1:8" ht="19.899999999999999" customHeight="1">
      <c r="A296" s="513"/>
      <c r="B296" s="163"/>
      <c r="C296" s="163"/>
      <c r="D296" s="459"/>
      <c r="E296" s="460"/>
      <c r="F296" s="481" t="s">
        <v>1015</v>
      </c>
      <c r="G296" s="518">
        <f>SUBTOTAL(9,G294:G295)</f>
        <v>0</v>
      </c>
    </row>
    <row r="297" spans="1:8" ht="19.899999999999999" customHeight="1">
      <c r="A297" s="516"/>
      <c r="B297" s="459"/>
      <c r="C297" s="163"/>
      <c r="D297" s="459"/>
      <c r="E297" s="460"/>
      <c r="F297" s="461"/>
      <c r="G297" s="514"/>
    </row>
    <row r="298" spans="1:8" ht="19.899999999999999" customHeight="1">
      <c r="A298" s="574" t="str">
        <f>B232</f>
        <v>3.1.1</v>
      </c>
      <c r="B298" s="571" t="str">
        <f ca="1">C232</f>
        <v>Reemplazo de compuertas frontales azud</v>
      </c>
      <c r="C298" s="459"/>
      <c r="D298" s="459" t="s">
        <v>1831</v>
      </c>
      <c r="E298" s="572"/>
      <c r="F298" s="573" t="str">
        <f ca="1">"$/"&amp;G232</f>
        <v>$/gl.</v>
      </c>
      <c r="G298" s="523">
        <f>SUBTOTAL(9,G255:G297)</f>
        <v>0</v>
      </c>
    </row>
    <row r="299" spans="1:8" ht="19.899999999999999" customHeight="1">
      <c r="A299" s="519"/>
      <c r="B299" s="520"/>
      <c r="C299" s="521"/>
      <c r="D299" s="521" t="s">
        <v>2041</v>
      </c>
      <c r="E299" s="522"/>
      <c r="F299" s="575" t="str">
        <f ca="1">"$/"&amp;G232</f>
        <v>$/gl.</v>
      </c>
      <c r="G299" s="523">
        <f>ROUND(G298*Coeficiente_Paso,2)</f>
        <v>0</v>
      </c>
    </row>
    <row r="300" spans="1:8" ht="19.899999999999999" customHeight="1">
      <c r="A300" s="163"/>
      <c r="B300" s="163"/>
      <c r="C300" s="163"/>
      <c r="D300" s="163"/>
      <c r="E300" s="163"/>
      <c r="F300" s="163"/>
      <c r="G300" s="163"/>
    </row>
    <row r="301" spans="1:8" ht="19.899999999999999" customHeight="1">
      <c r="A301" s="687" t="s">
        <v>30</v>
      </c>
      <c r="B301" s="688"/>
      <c r="C301" s="688"/>
      <c r="D301" s="688"/>
      <c r="E301" s="688"/>
      <c r="F301" s="688"/>
      <c r="G301" s="689"/>
      <c r="H301" s="60"/>
    </row>
    <row r="302" spans="1:8" ht="19.899999999999999" customHeight="1">
      <c r="A302" s="502" t="s">
        <v>710</v>
      </c>
      <c r="B302" s="453" t="str">
        <f>Comitente</f>
        <v>DEPARTAMENTO DE HIDRAULICA</v>
      </c>
      <c r="C302" s="454"/>
      <c r="D302" s="455"/>
      <c r="E302" s="455"/>
      <c r="F302" s="456"/>
      <c r="G302" s="503"/>
      <c r="H302" s="60"/>
    </row>
    <row r="303" spans="1:8" ht="19.899999999999999" customHeight="1">
      <c r="A303" s="502" t="s">
        <v>711</v>
      </c>
      <c r="B303" s="453">
        <f>Contratista</f>
        <v>0</v>
      </c>
      <c r="C303" s="457"/>
      <c r="D303" s="457"/>
      <c r="E303" s="457"/>
      <c r="F303" s="453"/>
      <c r="G303" s="504"/>
      <c r="H303" s="60"/>
    </row>
    <row r="304" spans="1:8" ht="19.899999999999999" customHeight="1">
      <c r="A304" s="502" t="s">
        <v>20</v>
      </c>
      <c r="B304" s="453" t="str">
        <f>Obra</f>
        <v>MEJORA DE LA RED DE RIEGO DEL VALLE DE JÁCHAL</v>
      </c>
      <c r="C304" s="457"/>
      <c r="D304" s="457"/>
      <c r="E304" s="457"/>
      <c r="F304" s="453" t="s">
        <v>31</v>
      </c>
      <c r="G304" s="504" t="str">
        <f>Fecha_Base</f>
        <v>XX/07/2020</v>
      </c>
      <c r="H304" s="60"/>
    </row>
    <row r="305" spans="1:8" ht="19.899999999999999" customHeight="1">
      <c r="A305" s="505" t="s">
        <v>709</v>
      </c>
      <c r="B305" s="458" t="str">
        <f>Ubicación</f>
        <v>JACHAL</v>
      </c>
      <c r="C305" s="458"/>
      <c r="D305" s="459"/>
      <c r="E305" s="460"/>
      <c r="F305" s="461"/>
      <c r="G305" s="506"/>
      <c r="H305" s="60"/>
    </row>
    <row r="306" spans="1:8" ht="19.899999999999999" customHeight="1">
      <c r="A306" s="505" t="s">
        <v>32</v>
      </c>
      <c r="B306" s="462">
        <f>IFERROR(VALUE(LEFT(B307,FIND(".",B307)-1)),"")</f>
        <v>3</v>
      </c>
      <c r="C306" s="163" t="str">
        <f ca="1">IFERROR(VLOOKUP(B306,T_Computo_Presupuesto,2,FALSE),0)</f>
        <v>AZUD PACHIMOCO</v>
      </c>
      <c r="D306" s="163"/>
      <c r="E306" s="460"/>
      <c r="F306" s="461"/>
      <c r="G306" s="506"/>
      <c r="H306" s="60"/>
    </row>
    <row r="307" spans="1:8" ht="19.899999999999999" customHeight="1">
      <c r="A307" s="505" t="s">
        <v>21</v>
      </c>
      <c r="B307" s="463" t="str">
        <f>IFERROR(VLOOKUP(COUNTIF($A$1:A307,"ANALISIS DE PRECIOS"),T_NumeroItem,2,FALSE),"")</f>
        <v>3.1.2</v>
      </c>
      <c r="C307" s="690" t="str">
        <f ca="1">IFERROR(VLOOKUP(B307,T_Computo_Presupuesto,2,FALSE),0)</f>
        <v>Motorizacion/Electrificacion compuertas frontales azud</v>
      </c>
      <c r="D307" s="690"/>
      <c r="E307" s="690"/>
      <c r="F307" s="458" t="s">
        <v>22</v>
      </c>
      <c r="G307" s="507" t="str">
        <f ca="1">IFERROR(VLOOKUP(B307,T_Computo_Presupuesto,4,FALSE),0)</f>
        <v>gl.</v>
      </c>
      <c r="H307" s="60"/>
    </row>
    <row r="308" spans="1:8" ht="19.899999999999999" customHeight="1">
      <c r="A308" s="505"/>
      <c r="B308" s="458"/>
      <c r="C308" s="163"/>
      <c r="D308" s="459"/>
      <c r="E308" s="460"/>
      <c r="F308" s="163"/>
      <c r="G308" s="508"/>
      <c r="H308" s="60"/>
    </row>
    <row r="309" spans="1:8" ht="19.899999999999999" customHeight="1">
      <c r="A309" s="509"/>
      <c r="B309" s="464"/>
      <c r="C309" s="465" t="s">
        <v>998</v>
      </c>
      <c r="D309" s="464"/>
      <c r="E309" s="464"/>
      <c r="F309" s="464"/>
      <c r="G309" s="510"/>
      <c r="H309" s="60"/>
    </row>
    <row r="310" spans="1:8" ht="19.899999999999999" customHeight="1">
      <c r="A310" s="505"/>
      <c r="B310" s="466"/>
      <c r="C310" s="163"/>
      <c r="D310" s="459"/>
      <c r="E310" s="460"/>
      <c r="F310" s="458"/>
      <c r="G310" s="507"/>
      <c r="H310" s="60"/>
    </row>
    <row r="311" spans="1:8" ht="19.899999999999999" customHeight="1">
      <c r="A311" s="505"/>
      <c r="B311" s="466"/>
      <c r="C311" s="467" t="s">
        <v>999</v>
      </c>
      <c r="D311" s="468" t="s">
        <v>23</v>
      </c>
      <c r="E311" s="468" t="s">
        <v>1000</v>
      </c>
      <c r="F311" s="468" t="s">
        <v>1001</v>
      </c>
      <c r="G311" s="467" t="s">
        <v>1002</v>
      </c>
    </row>
    <row r="312" spans="1:8" ht="19.899999999999999" customHeight="1">
      <c r="A312" s="505"/>
      <c r="B312" s="466"/>
      <c r="C312" s="469"/>
      <c r="D312" s="470"/>
      <c r="E312" s="471">
        <f t="shared" ref="E312:E320" si="97">IFERROR(VLOOKUP(C312,T_Equipos,4,FALSE),0)</f>
        <v>0</v>
      </c>
      <c r="F312" s="472"/>
      <c r="G312" s="472">
        <f>ROUND(D312*F312,2)</f>
        <v>0</v>
      </c>
    </row>
    <row r="313" spans="1:8" ht="19.899999999999999" customHeight="1">
      <c r="A313" s="505"/>
      <c r="B313" s="466"/>
      <c r="C313" s="469"/>
      <c r="D313" s="470"/>
      <c r="E313" s="471">
        <f t="shared" si="97"/>
        <v>0</v>
      </c>
      <c r="F313" s="472"/>
      <c r="G313" s="472">
        <f>ROUND(D313*F313,2)</f>
        <v>0</v>
      </c>
    </row>
    <row r="314" spans="1:8" ht="19.899999999999999" customHeight="1">
      <c r="A314" s="505"/>
      <c r="B314" s="466"/>
      <c r="C314" s="469"/>
      <c r="D314" s="470"/>
      <c r="E314" s="471">
        <f t="shared" si="97"/>
        <v>0</v>
      </c>
      <c r="F314" s="472"/>
      <c r="G314" s="472">
        <f>ROUND(D314*F314,2)</f>
        <v>0</v>
      </c>
    </row>
    <row r="315" spans="1:8" ht="19.899999999999999" customHeight="1">
      <c r="A315" s="505"/>
      <c r="B315" s="466"/>
      <c r="C315" s="469"/>
      <c r="D315" s="470"/>
      <c r="E315" s="471">
        <f t="shared" si="97"/>
        <v>0</v>
      </c>
      <c r="F315" s="472"/>
      <c r="G315" s="472">
        <f>ROUND(D315*F315,2)</f>
        <v>0</v>
      </c>
    </row>
    <row r="316" spans="1:8" ht="19.899999999999999" customHeight="1">
      <c r="A316" s="505"/>
      <c r="B316" s="466"/>
      <c r="C316" s="469"/>
      <c r="D316" s="470"/>
      <c r="E316" s="471">
        <f t="shared" si="97"/>
        <v>0</v>
      </c>
      <c r="F316" s="472"/>
      <c r="G316" s="472">
        <f t="shared" ref="G316:G321" si="98">ROUND(D316*F316,2)</f>
        <v>0</v>
      </c>
    </row>
    <row r="317" spans="1:8" ht="19.899999999999999" customHeight="1">
      <c r="A317" s="505"/>
      <c r="B317" s="466"/>
      <c r="C317" s="469"/>
      <c r="D317" s="470"/>
      <c r="E317" s="471">
        <f t="shared" si="97"/>
        <v>0</v>
      </c>
      <c r="F317" s="472">
        <f t="shared" ref="F317:F321" si="99">IFERROR(VLOOKUP(C317,T_Equipos,5,FALSE),0)</f>
        <v>0</v>
      </c>
      <c r="G317" s="472">
        <f t="shared" si="98"/>
        <v>0</v>
      </c>
    </row>
    <row r="318" spans="1:8" ht="19.899999999999999" customHeight="1">
      <c r="A318" s="505"/>
      <c r="B318" s="466"/>
      <c r="C318" s="469"/>
      <c r="D318" s="470"/>
      <c r="E318" s="471">
        <f t="shared" si="97"/>
        <v>0</v>
      </c>
      <c r="F318" s="472">
        <f t="shared" si="99"/>
        <v>0</v>
      </c>
      <c r="G318" s="472">
        <f t="shared" si="98"/>
        <v>0</v>
      </c>
    </row>
    <row r="319" spans="1:8" ht="19.899999999999999" customHeight="1">
      <c r="A319" s="505"/>
      <c r="B319" s="466"/>
      <c r="C319" s="469"/>
      <c r="D319" s="470"/>
      <c r="E319" s="471">
        <f t="shared" si="97"/>
        <v>0</v>
      </c>
      <c r="F319" s="472">
        <f t="shared" si="99"/>
        <v>0</v>
      </c>
      <c r="G319" s="472">
        <f t="shared" si="98"/>
        <v>0</v>
      </c>
    </row>
    <row r="320" spans="1:8" ht="19.899999999999999" customHeight="1">
      <c r="A320" s="505"/>
      <c r="B320" s="466"/>
      <c r="C320" s="469"/>
      <c r="D320" s="470"/>
      <c r="E320" s="471">
        <f t="shared" si="97"/>
        <v>0</v>
      </c>
      <c r="F320" s="472">
        <f t="shared" si="99"/>
        <v>0</v>
      </c>
      <c r="G320" s="472">
        <f t="shared" si="98"/>
        <v>0</v>
      </c>
    </row>
    <row r="321" spans="1:7" ht="19.899999999999999" customHeight="1">
      <c r="A321" s="505"/>
      <c r="B321" s="466"/>
      <c r="C321" s="469"/>
      <c r="D321" s="470"/>
      <c r="E321" s="471">
        <f t="shared" ref="E321" si="100">IFERROR(VLOOKUP(C321,T_Equipos,4,FALSE),0)</f>
        <v>0</v>
      </c>
      <c r="F321" s="472">
        <f t="shared" si="99"/>
        <v>0</v>
      </c>
      <c r="G321" s="472">
        <f t="shared" si="98"/>
        <v>0</v>
      </c>
    </row>
    <row r="322" spans="1:7" ht="19.899999999999999" customHeight="1">
      <c r="A322" s="505"/>
      <c r="B322" s="466"/>
      <c r="C322" s="163"/>
      <c r="D322" s="163"/>
      <c r="E322" s="473"/>
      <c r="F322" s="458"/>
      <c r="G322" s="507"/>
    </row>
    <row r="323" spans="1:7" ht="19.899999999999999" customHeight="1">
      <c r="A323" s="505"/>
      <c r="B323" s="163"/>
      <c r="C323" s="455" t="s">
        <v>1003</v>
      </c>
      <c r="D323" s="458" t="s">
        <v>1000</v>
      </c>
      <c r="E323" s="524">
        <f>SUMPRODUCT(D312:D321,E312:E321)</f>
        <v>0</v>
      </c>
      <c r="F323" s="458" t="s">
        <v>1004</v>
      </c>
      <c r="G323" s="525">
        <f>SUM(G312:G321)</f>
        <v>0</v>
      </c>
    </row>
    <row r="324" spans="1:7" ht="19.899999999999999" customHeight="1">
      <c r="A324" s="505"/>
      <c r="B324" s="466"/>
      <c r="C324" s="474"/>
      <c r="D324" s="473"/>
      <c r="E324" s="460"/>
      <c r="F324" s="458"/>
      <c r="G324" s="511"/>
    </row>
    <row r="325" spans="1:7" ht="19.899999999999999" customHeight="1">
      <c r="A325" s="512"/>
      <c r="B325" s="466"/>
      <c r="C325" s="458" t="s">
        <v>1005</v>
      </c>
      <c r="D325" s="475"/>
      <c r="E325" s="476" t="str">
        <f ca="1">G307&amp;"/día"</f>
        <v>gl./día</v>
      </c>
      <c r="F325" s="452"/>
      <c r="G325" s="507"/>
    </row>
    <row r="326" spans="1:7" ht="19.899999999999999" customHeight="1">
      <c r="A326" s="505"/>
      <c r="B326" s="466"/>
      <c r="C326" s="163"/>
      <c r="D326" s="459"/>
      <c r="E326" s="460"/>
      <c r="F326" s="458"/>
      <c r="G326" s="507"/>
    </row>
    <row r="327" spans="1:7" ht="19.899999999999999" customHeight="1">
      <c r="A327" s="677" t="s">
        <v>575</v>
      </c>
      <c r="B327" s="678"/>
      <c r="C327" s="679" t="s">
        <v>0</v>
      </c>
      <c r="D327" s="691" t="s">
        <v>1864</v>
      </c>
      <c r="E327" s="691" t="s">
        <v>1863</v>
      </c>
      <c r="F327" s="683" t="s">
        <v>1006</v>
      </c>
      <c r="G327" s="685" t="s">
        <v>25</v>
      </c>
    </row>
    <row r="328" spans="1:7" ht="19.899999999999999" customHeight="1">
      <c r="A328" s="477" t="s">
        <v>576</v>
      </c>
      <c r="B328" s="477" t="s">
        <v>577</v>
      </c>
      <c r="C328" s="680"/>
      <c r="D328" s="692"/>
      <c r="E328" s="682"/>
      <c r="F328" s="684"/>
      <c r="G328" s="686"/>
    </row>
    <row r="329" spans="1:7" ht="19.899999999999999" customHeight="1">
      <c r="A329" s="513"/>
      <c r="B329" s="163"/>
      <c r="C329" s="455" t="s">
        <v>1007</v>
      </c>
      <c r="D329" s="460"/>
      <c r="E329" s="460"/>
      <c r="F329" s="163"/>
      <c r="G329" s="514"/>
    </row>
    <row r="330" spans="1:7" ht="19.899999999999999" customHeight="1">
      <c r="A330" s="515">
        <f t="shared" ref="A330:A338" si="101">IFERROR(VLOOKUP(C330,T_Insumos,4,FALSE),0)</f>
        <v>0</v>
      </c>
      <c r="B330" s="478">
        <f t="shared" ref="B330:B338" si="102">IFERROR(VLOOKUP(C330,T_Insumos,5,FALSE),0)</f>
        <v>0</v>
      </c>
      <c r="C330" s="469"/>
      <c r="D330" s="479">
        <f t="shared" ref="D330:D337" si="103">IFERROR(VLOOKUP(C330,T_Insumos,3,FALSE),0)</f>
        <v>0</v>
      </c>
      <c r="E330" s="472">
        <f>D330*$G$323</f>
        <v>0</v>
      </c>
      <c r="F330" s="475">
        <f>+$D$325</f>
        <v>0</v>
      </c>
      <c r="G330" s="472">
        <f>IFERROR(ROUND(E330/F330,2),0)</f>
        <v>0</v>
      </c>
    </row>
    <row r="331" spans="1:7" ht="19.899999999999999" customHeight="1">
      <c r="A331" s="515"/>
      <c r="B331" s="478"/>
      <c r="C331" s="469"/>
      <c r="D331" s="479">
        <f t="shared" si="103"/>
        <v>0</v>
      </c>
      <c r="E331" s="472">
        <f>D331*$G$323</f>
        <v>0</v>
      </c>
      <c r="F331" s="475">
        <f t="shared" ref="F331:F333" si="104">+$D$325</f>
        <v>0</v>
      </c>
      <c r="G331" s="472">
        <f t="shared" ref="G331:G338" si="105">IFERROR(ROUND(E331/F331,2),0)</f>
        <v>0</v>
      </c>
    </row>
    <row r="332" spans="1:7" ht="19.899999999999999" customHeight="1">
      <c r="A332" s="515">
        <f t="shared" si="101"/>
        <v>0</v>
      </c>
      <c r="B332" s="478">
        <f t="shared" si="102"/>
        <v>0</v>
      </c>
      <c r="C332" s="480"/>
      <c r="D332" s="479">
        <f t="shared" si="103"/>
        <v>0</v>
      </c>
      <c r="E332" s="472">
        <f>D332*$E$323</f>
        <v>0</v>
      </c>
      <c r="F332" s="475">
        <f t="shared" si="104"/>
        <v>0</v>
      </c>
      <c r="G332" s="472">
        <f t="shared" si="105"/>
        <v>0</v>
      </c>
    </row>
    <row r="333" spans="1:7" ht="19.899999999999999" customHeight="1">
      <c r="A333" s="515">
        <f t="shared" si="101"/>
        <v>0</v>
      </c>
      <c r="B333" s="478">
        <f t="shared" si="102"/>
        <v>0</v>
      </c>
      <c r="C333" s="480"/>
      <c r="D333" s="479">
        <f t="shared" si="103"/>
        <v>0</v>
      </c>
      <c r="E333" s="472">
        <f>D333*$E$323</f>
        <v>0</v>
      </c>
      <c r="F333" s="475">
        <f t="shared" si="104"/>
        <v>0</v>
      </c>
      <c r="G333" s="472">
        <f t="shared" si="105"/>
        <v>0</v>
      </c>
    </row>
    <row r="334" spans="1:7" ht="19.899999999999999" customHeight="1">
      <c r="A334" s="515">
        <f t="shared" si="101"/>
        <v>0</v>
      </c>
      <c r="B334" s="478">
        <f t="shared" si="102"/>
        <v>0</v>
      </c>
      <c r="C334" s="480"/>
      <c r="D334" s="479">
        <f t="shared" si="103"/>
        <v>0</v>
      </c>
      <c r="E334" s="472"/>
      <c r="F334" s="475">
        <f>IF(C334="",0,IFERROR(VLOOKUP(COUNTIF($A$1:A334,"ANALISIS DE PRECIOS"),T_Rendimiento_Equipo,5,FALSE),0))</f>
        <v>0</v>
      </c>
      <c r="G334" s="472">
        <f t="shared" si="105"/>
        <v>0</v>
      </c>
    </row>
    <row r="335" spans="1:7" ht="19.899999999999999" customHeight="1">
      <c r="A335" s="515">
        <f t="shared" si="101"/>
        <v>0</v>
      </c>
      <c r="B335" s="478">
        <f t="shared" si="102"/>
        <v>0</v>
      </c>
      <c r="C335" s="480"/>
      <c r="D335" s="479">
        <f t="shared" si="103"/>
        <v>0</v>
      </c>
      <c r="E335" s="472"/>
      <c r="F335" s="475">
        <f>IF(C335="",0,IFERROR(VLOOKUP(COUNTIF($A$1:A335,"ANALISIS DE PRECIOS"),T_Rendimiento_Equipo,5,FALSE),0))</f>
        <v>0</v>
      </c>
      <c r="G335" s="472">
        <f t="shared" si="105"/>
        <v>0</v>
      </c>
    </row>
    <row r="336" spans="1:7" ht="19.899999999999999" customHeight="1">
      <c r="A336" s="515">
        <f t="shared" si="101"/>
        <v>0</v>
      </c>
      <c r="B336" s="478">
        <f t="shared" si="102"/>
        <v>0</v>
      </c>
      <c r="C336" s="480"/>
      <c r="D336" s="479">
        <f t="shared" si="103"/>
        <v>0</v>
      </c>
      <c r="E336" s="472"/>
      <c r="F336" s="475">
        <f>IF(C336="",0,IFERROR(VLOOKUP(COUNTIF($A$1:A336,"ANALISIS DE PRECIOS"),T_Rendimiento_Equipo,5,FALSE),0))</f>
        <v>0</v>
      </c>
      <c r="G336" s="472">
        <f t="shared" si="105"/>
        <v>0</v>
      </c>
    </row>
    <row r="337" spans="1:7" ht="19.899999999999999" customHeight="1">
      <c r="A337" s="515">
        <f t="shared" si="101"/>
        <v>0</v>
      </c>
      <c r="B337" s="478">
        <f t="shared" si="102"/>
        <v>0</v>
      </c>
      <c r="C337" s="480"/>
      <c r="D337" s="479">
        <f t="shared" si="103"/>
        <v>0</v>
      </c>
      <c r="E337" s="472"/>
      <c r="F337" s="475">
        <f>IF(C337="",0,IFERROR(VLOOKUP(COUNTIF($A$1:A337,"ANALISIS DE PRECIOS"),T_Rendimiento_Equipo,5,FALSE),0))</f>
        <v>0</v>
      </c>
      <c r="G337" s="472">
        <f t="shared" si="105"/>
        <v>0</v>
      </c>
    </row>
    <row r="338" spans="1:7" ht="19.899999999999999" customHeight="1">
      <c r="A338" s="515">
        <f t="shared" si="101"/>
        <v>0</v>
      </c>
      <c r="B338" s="478">
        <f t="shared" si="102"/>
        <v>0</v>
      </c>
      <c r="C338" s="469"/>
      <c r="D338" s="479">
        <f t="shared" ref="D338" si="106">IFERROR(VLOOKUP(C338,T_Insumos,3,FALSE),0)</f>
        <v>0</v>
      </c>
      <c r="E338" s="472"/>
      <c r="F338" s="475">
        <f>IF(C338="",0,IFERROR(VLOOKUP(COUNTIF($A$1:A338,"ANALISIS DE PRECIOS"),T_Rendimiento_Equipo,5,FALSE),0))</f>
        <v>0</v>
      </c>
      <c r="G338" s="472">
        <f t="shared" si="105"/>
        <v>0</v>
      </c>
    </row>
    <row r="339" spans="1:7" ht="19.899999999999999" customHeight="1">
      <c r="A339" s="516"/>
      <c r="B339" s="459"/>
      <c r="C339" s="163"/>
      <c r="D339" s="459"/>
      <c r="E339" s="460"/>
      <c r="F339" s="481" t="s">
        <v>26</v>
      </c>
      <c r="G339" s="517">
        <f>SUBTOTAL(9,G330:G338)</f>
        <v>0</v>
      </c>
    </row>
    <row r="340" spans="1:7" ht="19.899999999999999" customHeight="1">
      <c r="A340" s="513"/>
      <c r="B340" s="163"/>
      <c r="C340" s="455" t="s">
        <v>712</v>
      </c>
      <c r="D340" s="459"/>
      <c r="E340" s="460"/>
      <c r="F340" s="461"/>
      <c r="G340" s="514"/>
    </row>
    <row r="341" spans="1:7" ht="19.899999999999999" customHeight="1">
      <c r="A341" s="677" t="s">
        <v>575</v>
      </c>
      <c r="B341" s="678"/>
      <c r="C341" s="679" t="s">
        <v>0</v>
      </c>
      <c r="D341" s="681" t="s">
        <v>23</v>
      </c>
      <c r="E341" s="681" t="s">
        <v>1830</v>
      </c>
      <c r="F341" s="683" t="s">
        <v>1006</v>
      </c>
      <c r="G341" s="685" t="s">
        <v>25</v>
      </c>
    </row>
    <row r="342" spans="1:7" ht="19.899999999999999" customHeight="1">
      <c r="A342" s="477" t="s">
        <v>576</v>
      </c>
      <c r="B342" s="477" t="s">
        <v>577</v>
      </c>
      <c r="C342" s="680"/>
      <c r="D342" s="682"/>
      <c r="E342" s="682"/>
      <c r="F342" s="684"/>
      <c r="G342" s="686"/>
    </row>
    <row r="343" spans="1:7" ht="19.899999999999999" customHeight="1">
      <c r="A343" s="515"/>
      <c r="B343" s="478">
        <f t="shared" ref="B343:B348" si="107">IFERROR(VLOOKUP(C343,T_Insumos,5,FALSE),0)</f>
        <v>0</v>
      </c>
      <c r="C343" s="482"/>
      <c r="D343" s="475"/>
      <c r="E343" s="472">
        <f t="shared" ref="E343:E347" si="108">SUMPRODUCT(D338:D341,E338:E341)</f>
        <v>0</v>
      </c>
      <c r="F343" s="475">
        <f>+$D$325</f>
        <v>0</v>
      </c>
      <c r="G343" s="472">
        <f>IFERROR(ROUND(D343*E343/F343,2),0)</f>
        <v>0</v>
      </c>
    </row>
    <row r="344" spans="1:7" ht="19.899999999999999" customHeight="1">
      <c r="A344" s="515"/>
      <c r="B344" s="478">
        <f t="shared" si="107"/>
        <v>0</v>
      </c>
      <c r="C344" s="469"/>
      <c r="D344" s="475"/>
      <c r="E344" s="472">
        <f t="shared" si="108"/>
        <v>0</v>
      </c>
      <c r="F344" s="475">
        <f t="shared" ref="F344:F348" si="109">+$D$325</f>
        <v>0</v>
      </c>
      <c r="G344" s="472">
        <f t="shared" ref="G344:G349" si="110">IFERROR(ROUND(D344*E344/F344,2),0)</f>
        <v>0</v>
      </c>
    </row>
    <row r="345" spans="1:7" ht="19.899999999999999" customHeight="1">
      <c r="A345" s="515"/>
      <c r="B345" s="478">
        <f t="shared" si="107"/>
        <v>0</v>
      </c>
      <c r="C345" s="469"/>
      <c r="D345" s="475"/>
      <c r="E345" s="472">
        <f t="shared" si="108"/>
        <v>0</v>
      </c>
      <c r="F345" s="475">
        <f t="shared" si="109"/>
        <v>0</v>
      </c>
      <c r="G345" s="472">
        <f t="shared" si="110"/>
        <v>0</v>
      </c>
    </row>
    <row r="346" spans="1:7" ht="19.899999999999999" customHeight="1">
      <c r="A346" s="515"/>
      <c r="B346" s="478">
        <f t="shared" si="107"/>
        <v>0</v>
      </c>
      <c r="C346" s="469"/>
      <c r="D346" s="475"/>
      <c r="E346" s="472">
        <f t="shared" si="108"/>
        <v>0</v>
      </c>
      <c r="F346" s="475">
        <f t="shared" si="109"/>
        <v>0</v>
      </c>
      <c r="G346" s="472">
        <f t="shared" si="110"/>
        <v>0</v>
      </c>
    </row>
    <row r="347" spans="1:7" ht="19.899999999999999" customHeight="1">
      <c r="A347" s="515">
        <f t="shared" ref="A347:A349" si="111">IFERROR(VLOOKUP(C347,T_Insumos,4,FALSE),0)</f>
        <v>0</v>
      </c>
      <c r="B347" s="478">
        <f t="shared" si="107"/>
        <v>0</v>
      </c>
      <c r="C347" s="469"/>
      <c r="D347" s="475"/>
      <c r="E347" s="472">
        <f t="shared" si="108"/>
        <v>0</v>
      </c>
      <c r="F347" s="475">
        <f>IF(C347="",0,IFERROR(VLOOKUP(COUNTIF($A$1:A347,"ANALISIS DE PRECIOS"),T_Rendimiento_Equipo,5,FALSE),0))</f>
        <v>0</v>
      </c>
      <c r="G347" s="472">
        <f t="shared" si="110"/>
        <v>0</v>
      </c>
    </row>
    <row r="348" spans="1:7" ht="19.899999999999999" customHeight="1">
      <c r="A348" s="515">
        <f t="shared" si="111"/>
        <v>0</v>
      </c>
      <c r="B348" s="478">
        <f t="shared" si="107"/>
        <v>0</v>
      </c>
      <c r="C348" s="469"/>
      <c r="D348" s="483"/>
      <c r="E348" s="472">
        <f>SUMPRODUCT(D343:D346,E343:E346)</f>
        <v>0</v>
      </c>
      <c r="F348" s="475">
        <f t="shared" si="109"/>
        <v>0</v>
      </c>
      <c r="G348" s="472">
        <f t="shared" si="110"/>
        <v>0</v>
      </c>
    </row>
    <row r="349" spans="1:7" ht="19.899999999999999" customHeight="1">
      <c r="A349" s="515">
        <f t="shared" si="111"/>
        <v>0</v>
      </c>
      <c r="B349" s="478">
        <f t="shared" ref="B349" si="112">IFERROR(VLOOKUP(C349,T_Insumos,5,FALSE),0)</f>
        <v>0</v>
      </c>
      <c r="C349" s="478"/>
      <c r="D349" s="484"/>
      <c r="E349" s="472">
        <f t="shared" ref="E349" si="113">IFERROR(VLOOKUP(C349,T_Insumos,3,FALSE),0)</f>
        <v>0</v>
      </c>
      <c r="F349" s="475">
        <f>IF(C349="",0,IFERROR(VLOOKUP(COUNTIF($A$1:A349,"ANALISIS DE PRECIOS"),T_Rendimiento_Equipo,5,FALSE),0))</f>
        <v>0</v>
      </c>
      <c r="G349" s="472">
        <f t="shared" si="110"/>
        <v>0</v>
      </c>
    </row>
    <row r="350" spans="1:7" ht="19.899999999999999" customHeight="1">
      <c r="A350" s="516"/>
      <c r="B350" s="459"/>
      <c r="C350" s="163"/>
      <c r="D350" s="459"/>
      <c r="E350" s="460"/>
      <c r="F350" s="481" t="s">
        <v>27</v>
      </c>
      <c r="G350" s="518">
        <f>SUBTOTAL(9,G343:G349)</f>
        <v>0</v>
      </c>
    </row>
    <row r="351" spans="1:7" ht="19.899999999999999" customHeight="1">
      <c r="A351" s="513"/>
      <c r="B351" s="163"/>
      <c r="C351" s="455" t="s">
        <v>1013</v>
      </c>
      <c r="D351" s="459"/>
      <c r="E351" s="460"/>
      <c r="F351" s="461"/>
      <c r="G351" s="514"/>
    </row>
    <row r="352" spans="1:7" ht="19.899999999999999" customHeight="1">
      <c r="A352" s="677" t="s">
        <v>575</v>
      </c>
      <c r="B352" s="678"/>
      <c r="C352" s="679" t="s">
        <v>0</v>
      </c>
      <c r="D352" s="679" t="s">
        <v>1865</v>
      </c>
      <c r="E352" s="681" t="s">
        <v>23</v>
      </c>
      <c r="F352" s="683" t="s">
        <v>24</v>
      </c>
      <c r="G352" s="685" t="s">
        <v>25</v>
      </c>
    </row>
    <row r="353" spans="1:7" ht="19.899999999999999" customHeight="1">
      <c r="A353" s="477" t="s">
        <v>576</v>
      </c>
      <c r="B353" s="477" t="s">
        <v>577</v>
      </c>
      <c r="C353" s="680"/>
      <c r="D353" s="680"/>
      <c r="E353" s="682"/>
      <c r="F353" s="684"/>
      <c r="G353" s="686"/>
    </row>
    <row r="354" spans="1:7" ht="19.899999999999999" customHeight="1">
      <c r="A354" s="515">
        <f t="shared" ref="A354:A364" si="114">IFERROR(VLOOKUP(C354,T_Insumos,4,FALSE),0)</f>
        <v>0</v>
      </c>
      <c r="B354" s="478">
        <f t="shared" ref="B354:B364" si="115">IFERROR(VLOOKUP(C354,T_Insumos,5,FALSE),0)</f>
        <v>0</v>
      </c>
      <c r="C354" s="478"/>
      <c r="D354" s="526">
        <f t="shared" ref="D354:D364" si="116">IFERROR(VLOOKUP(C354,T_Insumos,2,FALSE),0)</f>
        <v>0</v>
      </c>
      <c r="E354" s="470"/>
      <c r="F354" s="472">
        <f t="shared" ref="F354:F364" si="117">IFERROR(VLOOKUP(C354,T_Insumos,3,FALSE),0)</f>
        <v>0</v>
      </c>
      <c r="G354" s="472">
        <f>ROUND(E354*F354,2)</f>
        <v>0</v>
      </c>
    </row>
    <row r="355" spans="1:7" s="485" customFormat="1" ht="19.899999999999999" customHeight="1">
      <c r="A355" s="515">
        <f t="shared" si="114"/>
        <v>0</v>
      </c>
      <c r="B355" s="478">
        <f t="shared" si="115"/>
        <v>0</v>
      </c>
      <c r="C355" s="478"/>
      <c r="D355" s="526">
        <f t="shared" si="116"/>
        <v>0</v>
      </c>
      <c r="E355" s="470"/>
      <c r="F355" s="472">
        <f t="shared" si="117"/>
        <v>0</v>
      </c>
      <c r="G355" s="472">
        <f t="shared" ref="G355:G364" si="118">ROUND(E355*F355,2)</f>
        <v>0</v>
      </c>
    </row>
    <row r="356" spans="1:7" ht="19.899999999999999" customHeight="1">
      <c r="A356" s="515">
        <f t="shared" si="114"/>
        <v>0</v>
      </c>
      <c r="B356" s="478">
        <f t="shared" si="115"/>
        <v>0</v>
      </c>
      <c r="C356" s="478"/>
      <c r="D356" s="526">
        <f t="shared" si="116"/>
        <v>0</v>
      </c>
      <c r="E356" s="470"/>
      <c r="F356" s="472">
        <f t="shared" si="117"/>
        <v>0</v>
      </c>
      <c r="G356" s="472">
        <f t="shared" si="118"/>
        <v>0</v>
      </c>
    </row>
    <row r="357" spans="1:7" ht="19.899999999999999" customHeight="1">
      <c r="A357" s="515">
        <f t="shared" si="114"/>
        <v>0</v>
      </c>
      <c r="B357" s="478">
        <f t="shared" si="115"/>
        <v>0</v>
      </c>
      <c r="C357" s="478"/>
      <c r="D357" s="526">
        <f t="shared" si="116"/>
        <v>0</v>
      </c>
      <c r="E357" s="470"/>
      <c r="F357" s="472">
        <f t="shared" si="117"/>
        <v>0</v>
      </c>
      <c r="G357" s="472">
        <f t="shared" si="118"/>
        <v>0</v>
      </c>
    </row>
    <row r="358" spans="1:7" ht="19.899999999999999" customHeight="1">
      <c r="A358" s="515">
        <f t="shared" si="114"/>
        <v>0</v>
      </c>
      <c r="B358" s="478">
        <f t="shared" si="115"/>
        <v>0</v>
      </c>
      <c r="C358" s="478"/>
      <c r="D358" s="526">
        <f t="shared" si="116"/>
        <v>0</v>
      </c>
      <c r="E358" s="470"/>
      <c r="F358" s="472">
        <f t="shared" si="117"/>
        <v>0</v>
      </c>
      <c r="G358" s="472">
        <f t="shared" si="118"/>
        <v>0</v>
      </c>
    </row>
    <row r="359" spans="1:7" ht="19.899999999999999" customHeight="1">
      <c r="A359" s="515">
        <f t="shared" si="114"/>
        <v>0</v>
      </c>
      <c r="B359" s="478">
        <f t="shared" si="115"/>
        <v>0</v>
      </c>
      <c r="C359" s="478"/>
      <c r="D359" s="526">
        <f t="shared" si="116"/>
        <v>0</v>
      </c>
      <c r="E359" s="470"/>
      <c r="F359" s="472">
        <f t="shared" si="117"/>
        <v>0</v>
      </c>
      <c r="G359" s="472">
        <f t="shared" si="118"/>
        <v>0</v>
      </c>
    </row>
    <row r="360" spans="1:7" ht="19.899999999999999" customHeight="1">
      <c r="A360" s="515">
        <f t="shared" si="114"/>
        <v>0</v>
      </c>
      <c r="B360" s="478">
        <f t="shared" si="115"/>
        <v>0</v>
      </c>
      <c r="C360" s="478"/>
      <c r="D360" s="526">
        <f t="shared" si="116"/>
        <v>0</v>
      </c>
      <c r="E360" s="470"/>
      <c r="F360" s="472">
        <f t="shared" si="117"/>
        <v>0</v>
      </c>
      <c r="G360" s="472">
        <f t="shared" si="118"/>
        <v>0</v>
      </c>
    </row>
    <row r="361" spans="1:7" ht="19.899999999999999" customHeight="1">
      <c r="A361" s="515">
        <f t="shared" si="114"/>
        <v>0</v>
      </c>
      <c r="B361" s="478">
        <f t="shared" si="115"/>
        <v>0</v>
      </c>
      <c r="C361" s="478"/>
      <c r="D361" s="526">
        <f t="shared" si="116"/>
        <v>0</v>
      </c>
      <c r="E361" s="470"/>
      <c r="F361" s="472">
        <f t="shared" si="117"/>
        <v>0</v>
      </c>
      <c r="G361" s="472">
        <f t="shared" si="118"/>
        <v>0</v>
      </c>
    </row>
    <row r="362" spans="1:7" ht="19.899999999999999" customHeight="1">
      <c r="A362" s="515">
        <f t="shared" si="114"/>
        <v>0</v>
      </c>
      <c r="B362" s="478">
        <f t="shared" si="115"/>
        <v>0</v>
      </c>
      <c r="C362" s="478"/>
      <c r="D362" s="526">
        <f t="shared" si="116"/>
        <v>0</v>
      </c>
      <c r="E362" s="470"/>
      <c r="F362" s="472">
        <f t="shared" si="117"/>
        <v>0</v>
      </c>
      <c r="G362" s="472">
        <f t="shared" si="118"/>
        <v>0</v>
      </c>
    </row>
    <row r="363" spans="1:7" ht="19.899999999999999" customHeight="1">
      <c r="A363" s="515">
        <f t="shared" si="114"/>
        <v>0</v>
      </c>
      <c r="B363" s="478">
        <f t="shared" si="115"/>
        <v>0</v>
      </c>
      <c r="C363" s="478"/>
      <c r="D363" s="526">
        <f t="shared" si="116"/>
        <v>0</v>
      </c>
      <c r="E363" s="470"/>
      <c r="F363" s="472">
        <f t="shared" si="117"/>
        <v>0</v>
      </c>
      <c r="G363" s="472">
        <f t="shared" si="118"/>
        <v>0</v>
      </c>
    </row>
    <row r="364" spans="1:7" ht="19.899999999999999" customHeight="1">
      <c r="A364" s="515">
        <f t="shared" si="114"/>
        <v>0</v>
      </c>
      <c r="B364" s="478">
        <f t="shared" si="115"/>
        <v>0</v>
      </c>
      <c r="C364" s="478"/>
      <c r="D364" s="526">
        <f t="shared" si="116"/>
        <v>0</v>
      </c>
      <c r="E364" s="470"/>
      <c r="F364" s="472">
        <f t="shared" si="117"/>
        <v>0</v>
      </c>
      <c r="G364" s="472">
        <f t="shared" si="118"/>
        <v>0</v>
      </c>
    </row>
    <row r="365" spans="1:7" ht="19.899999999999999" customHeight="1">
      <c r="A365" s="513"/>
      <c r="B365" s="163"/>
      <c r="C365" s="163"/>
      <c r="D365" s="459"/>
      <c r="E365" s="460"/>
      <c r="F365" s="481" t="s">
        <v>28</v>
      </c>
      <c r="G365" s="518">
        <f>SUBTOTAL(9,G354:G364)</f>
        <v>0</v>
      </c>
    </row>
    <row r="366" spans="1:7" ht="19.899999999999999" customHeight="1">
      <c r="A366" s="513"/>
      <c r="B366" s="163"/>
      <c r="C366" s="455" t="s">
        <v>1014</v>
      </c>
      <c r="D366" s="459"/>
      <c r="E366" s="460"/>
      <c r="F366" s="461"/>
      <c r="G366" s="514"/>
    </row>
    <row r="367" spans="1:7" ht="19.899999999999999" customHeight="1">
      <c r="A367" s="677" t="s">
        <v>575</v>
      </c>
      <c r="B367" s="678"/>
      <c r="C367" s="679" t="s">
        <v>0</v>
      </c>
      <c r="D367" s="679" t="s">
        <v>1865</v>
      </c>
      <c r="E367" s="681" t="s">
        <v>23</v>
      </c>
      <c r="F367" s="683" t="s">
        <v>24</v>
      </c>
      <c r="G367" s="685" t="s">
        <v>25</v>
      </c>
    </row>
    <row r="368" spans="1:7" ht="19.899999999999999" customHeight="1">
      <c r="A368" s="477" t="s">
        <v>576</v>
      </c>
      <c r="B368" s="477" t="s">
        <v>577</v>
      </c>
      <c r="C368" s="680"/>
      <c r="D368" s="680"/>
      <c r="E368" s="682"/>
      <c r="F368" s="684"/>
      <c r="G368" s="686"/>
    </row>
    <row r="369" spans="1:8" ht="19.899999999999999" customHeight="1">
      <c r="A369" s="515">
        <f>IFERROR(VLOOKUP(C369,T_Insumos,4,FALSE),0)</f>
        <v>0</v>
      </c>
      <c r="B369" s="478">
        <f>IFERROR(VLOOKUP(C369,T_Insumos,5,FALSE),0)</f>
        <v>0</v>
      </c>
      <c r="C369" s="469"/>
      <c r="D369" s="526">
        <f>IF(C369=0,0,"$/tnkm")</f>
        <v>0</v>
      </c>
      <c r="E369" s="470"/>
      <c r="F369" s="472">
        <f>IFERROR(VLOOKUP(C369,T_Insumos,3,FALSE),0)</f>
        <v>0</v>
      </c>
      <c r="G369" s="472">
        <f>ROUND(E369*F369,2)</f>
        <v>0</v>
      </c>
    </row>
    <row r="370" spans="1:8" ht="19.899999999999999" customHeight="1">
      <c r="A370" s="515">
        <f>IFERROR(VLOOKUP(C370,T_Insumos,4,FALSE),0)</f>
        <v>0</v>
      </c>
      <c r="B370" s="478">
        <f>IFERROR(VLOOKUP(C370,T_Insumos,5,FALSE),0)</f>
        <v>0</v>
      </c>
      <c r="C370" s="469"/>
      <c r="D370" s="526">
        <f>IF(C370=0,0,"$/tnkm")</f>
        <v>0</v>
      </c>
      <c r="E370" s="486"/>
      <c r="F370" s="472">
        <f>IFERROR(VLOOKUP(C370,T_Insumos,3,FALSE),0)</f>
        <v>0</v>
      </c>
      <c r="G370" s="472">
        <f t="shared" ref="G370" si="119">ROUND(E370*F370,2)</f>
        <v>0</v>
      </c>
    </row>
    <row r="371" spans="1:8" ht="19.899999999999999" customHeight="1">
      <c r="A371" s="513"/>
      <c r="B371" s="163"/>
      <c r="C371" s="163"/>
      <c r="D371" s="459"/>
      <c r="E371" s="460"/>
      <c r="F371" s="481" t="s">
        <v>1015</v>
      </c>
      <c r="G371" s="518">
        <f>SUBTOTAL(9,G369:G370)</f>
        <v>0</v>
      </c>
      <c r="H371" s="60"/>
    </row>
    <row r="372" spans="1:8" ht="19.899999999999999" customHeight="1">
      <c r="A372" s="516"/>
      <c r="B372" s="459"/>
      <c r="C372" s="163"/>
      <c r="D372" s="459"/>
      <c r="E372" s="460"/>
      <c r="F372" s="461"/>
      <c r="G372" s="514"/>
      <c r="H372" s="60"/>
    </row>
    <row r="373" spans="1:8" ht="19.899999999999999" customHeight="1">
      <c r="A373" s="574" t="str">
        <f>B307</f>
        <v>3.1.2</v>
      </c>
      <c r="B373" s="571" t="str">
        <f ca="1">C307</f>
        <v>Motorizacion/Electrificacion compuertas frontales azud</v>
      </c>
      <c r="C373" s="459"/>
      <c r="D373" s="459" t="s">
        <v>1831</v>
      </c>
      <c r="E373" s="572"/>
      <c r="F373" s="573" t="str">
        <f ca="1">"$/"&amp;G307</f>
        <v>$/gl.</v>
      </c>
      <c r="G373" s="523">
        <f>SUBTOTAL(9,G330:G372)</f>
        <v>0</v>
      </c>
      <c r="H373" s="60"/>
    </row>
    <row r="374" spans="1:8" ht="19.899999999999999" customHeight="1">
      <c r="A374" s="519"/>
      <c r="B374" s="520"/>
      <c r="C374" s="521"/>
      <c r="D374" s="521" t="s">
        <v>2041</v>
      </c>
      <c r="E374" s="522"/>
      <c r="F374" s="575" t="str">
        <f ca="1">"$/"&amp;G307</f>
        <v>$/gl.</v>
      </c>
      <c r="G374" s="523">
        <f>ROUND(G373*Coeficiente_Paso,2)</f>
        <v>0</v>
      </c>
      <c r="H374" s="60"/>
    </row>
    <row r="375" spans="1:8" ht="19.899999999999999" customHeight="1">
      <c r="A375" s="163"/>
      <c r="B375" s="163"/>
      <c r="C375" s="163"/>
      <c r="D375" s="163"/>
      <c r="E375" s="163"/>
      <c r="F375" s="163"/>
      <c r="G375" s="163"/>
      <c r="H375" s="60"/>
    </row>
    <row r="376" spans="1:8" ht="19.899999999999999" customHeight="1">
      <c r="A376" s="687" t="s">
        <v>30</v>
      </c>
      <c r="B376" s="688"/>
      <c r="C376" s="688"/>
      <c r="D376" s="688"/>
      <c r="E376" s="688"/>
      <c r="F376" s="688"/>
      <c r="G376" s="689"/>
    </row>
    <row r="377" spans="1:8" ht="19.899999999999999" customHeight="1">
      <c r="A377" s="502" t="s">
        <v>710</v>
      </c>
      <c r="B377" s="453" t="str">
        <f>Comitente</f>
        <v>DEPARTAMENTO DE HIDRAULICA</v>
      </c>
      <c r="C377" s="454"/>
      <c r="D377" s="455"/>
      <c r="E377" s="455"/>
      <c r="F377" s="456"/>
      <c r="G377" s="503"/>
    </row>
    <row r="378" spans="1:8" ht="19.899999999999999" customHeight="1">
      <c r="A378" s="502" t="s">
        <v>711</v>
      </c>
      <c r="B378" s="453">
        <f>Contratista</f>
        <v>0</v>
      </c>
      <c r="C378" s="457"/>
      <c r="D378" s="457"/>
      <c r="E378" s="457"/>
      <c r="F378" s="453"/>
      <c r="G378" s="504"/>
    </row>
    <row r="379" spans="1:8" ht="19.899999999999999" customHeight="1">
      <c r="A379" s="502" t="s">
        <v>20</v>
      </c>
      <c r="B379" s="453" t="str">
        <f>Obra</f>
        <v>MEJORA DE LA RED DE RIEGO DEL VALLE DE JÁCHAL</v>
      </c>
      <c r="C379" s="457"/>
      <c r="D379" s="457"/>
      <c r="E379" s="457"/>
      <c r="F379" s="453" t="s">
        <v>31</v>
      </c>
      <c r="G379" s="504" t="str">
        <f>Fecha_Base</f>
        <v>XX/07/2020</v>
      </c>
    </row>
    <row r="380" spans="1:8" ht="19.899999999999999" customHeight="1">
      <c r="A380" s="505" t="s">
        <v>709</v>
      </c>
      <c r="B380" s="458" t="str">
        <f>Ubicación</f>
        <v>JACHAL</v>
      </c>
      <c r="C380" s="458"/>
      <c r="D380" s="459"/>
      <c r="E380" s="460"/>
      <c r="F380" s="461"/>
      <c r="G380" s="506"/>
    </row>
    <row r="381" spans="1:8" ht="19.899999999999999" customHeight="1">
      <c r="A381" s="505" t="s">
        <v>32</v>
      </c>
      <c r="B381" s="462">
        <f>IFERROR(VALUE(LEFT(B382,FIND(".",B382)-1)),"")</f>
        <v>3</v>
      </c>
      <c r="C381" s="163" t="str">
        <f ca="1">IFERROR(VLOOKUP(B381,T_Computo_Presupuesto,2,FALSE),0)</f>
        <v>AZUD PACHIMOCO</v>
      </c>
      <c r="D381" s="163"/>
      <c r="E381" s="460"/>
      <c r="F381" s="461"/>
      <c r="G381" s="506"/>
    </row>
    <row r="382" spans="1:8" ht="19.899999999999999" customHeight="1">
      <c r="A382" s="505" t="s">
        <v>21</v>
      </c>
      <c r="B382" s="463" t="str">
        <f>IFERROR(VLOOKUP(COUNTIF($A$1:A382,"ANALISIS DE PRECIOS"),T_NumeroItem,2,FALSE),"")</f>
        <v>3.1.3</v>
      </c>
      <c r="C382" s="690" t="str">
        <f ca="1">IFERROR(VLOOKUP(B382,T_Computo_Presupuesto,2,FALSE),0)</f>
        <v>Grupo electrógeno 20kVA</v>
      </c>
      <c r="D382" s="690"/>
      <c r="E382" s="690"/>
      <c r="F382" s="458" t="s">
        <v>22</v>
      </c>
      <c r="G382" s="507" t="str">
        <f ca="1">IFERROR(VLOOKUP(B382,T_Computo_Presupuesto,4,FALSE),0)</f>
        <v>gl.</v>
      </c>
    </row>
    <row r="383" spans="1:8" ht="19.899999999999999" customHeight="1">
      <c r="A383" s="505"/>
      <c r="B383" s="458"/>
      <c r="C383" s="163"/>
      <c r="D383" s="459"/>
      <c r="E383" s="460"/>
      <c r="F383" s="163"/>
      <c r="G383" s="508"/>
    </row>
    <row r="384" spans="1:8" ht="19.899999999999999" customHeight="1">
      <c r="A384" s="509"/>
      <c r="B384" s="464"/>
      <c r="C384" s="465" t="s">
        <v>998</v>
      </c>
      <c r="D384" s="464"/>
      <c r="E384" s="464"/>
      <c r="F384" s="464"/>
      <c r="G384" s="510"/>
    </row>
    <row r="385" spans="1:7" ht="19.899999999999999" customHeight="1">
      <c r="A385" s="505"/>
      <c r="B385" s="466"/>
      <c r="C385" s="163"/>
      <c r="D385" s="459"/>
      <c r="E385" s="460"/>
      <c r="F385" s="458"/>
      <c r="G385" s="507"/>
    </row>
    <row r="386" spans="1:7" ht="19.899999999999999" customHeight="1">
      <c r="A386" s="505"/>
      <c r="B386" s="466"/>
      <c r="C386" s="467" t="s">
        <v>999</v>
      </c>
      <c r="D386" s="468" t="s">
        <v>23</v>
      </c>
      <c r="E386" s="468" t="s">
        <v>1000</v>
      </c>
      <c r="F386" s="468" t="s">
        <v>1001</v>
      </c>
      <c r="G386" s="467" t="s">
        <v>1002</v>
      </c>
    </row>
    <row r="387" spans="1:7" ht="19.899999999999999" customHeight="1">
      <c r="A387" s="505"/>
      <c r="B387" s="466"/>
      <c r="C387" s="469"/>
      <c r="D387" s="470"/>
      <c r="E387" s="471">
        <f t="shared" ref="E387:E391" si="120">IFERROR(VLOOKUP(C387,T_Equipos,4,FALSE),0)</f>
        <v>0</v>
      </c>
      <c r="F387" s="472">
        <f t="shared" ref="F387:F391" si="121">IFERROR(VLOOKUP(C387,T_Equipos,5,FALSE),0)</f>
        <v>0</v>
      </c>
      <c r="G387" s="472">
        <f>ROUND(D387*F387,2)</f>
        <v>0</v>
      </c>
    </row>
    <row r="388" spans="1:7" ht="19.899999999999999" customHeight="1">
      <c r="A388" s="505"/>
      <c r="B388" s="466"/>
      <c r="C388" s="469"/>
      <c r="D388" s="470"/>
      <c r="E388" s="471">
        <f t="shared" si="120"/>
        <v>0</v>
      </c>
      <c r="F388" s="472">
        <f t="shared" si="121"/>
        <v>0</v>
      </c>
      <c r="G388" s="472">
        <f>ROUND(D388*F388,2)</f>
        <v>0</v>
      </c>
    </row>
    <row r="389" spans="1:7" ht="19.899999999999999" customHeight="1">
      <c r="A389" s="505"/>
      <c r="B389" s="466"/>
      <c r="C389" s="469"/>
      <c r="D389" s="470"/>
      <c r="E389" s="471">
        <f t="shared" si="120"/>
        <v>0</v>
      </c>
      <c r="F389" s="472">
        <f t="shared" si="121"/>
        <v>0</v>
      </c>
      <c r="G389" s="472">
        <f>ROUND(D389*F389,2)</f>
        <v>0</v>
      </c>
    </row>
    <row r="390" spans="1:7" ht="19.899999999999999" customHeight="1">
      <c r="A390" s="505"/>
      <c r="B390" s="466"/>
      <c r="C390" s="469"/>
      <c r="D390" s="470"/>
      <c r="E390" s="471">
        <f t="shared" si="120"/>
        <v>0</v>
      </c>
      <c r="F390" s="472">
        <f t="shared" si="121"/>
        <v>0</v>
      </c>
      <c r="G390" s="472">
        <f>ROUND(D390*F390,2)</f>
        <v>0</v>
      </c>
    </row>
    <row r="391" spans="1:7" ht="19.899999999999999" customHeight="1">
      <c r="A391" s="505"/>
      <c r="B391" s="466"/>
      <c r="C391" s="469"/>
      <c r="D391" s="470"/>
      <c r="E391" s="471">
        <f t="shared" si="120"/>
        <v>0</v>
      </c>
      <c r="F391" s="472">
        <f t="shared" si="121"/>
        <v>0</v>
      </c>
      <c r="G391" s="472">
        <f t="shared" ref="G391:G396" si="122">ROUND(D391*F391,2)</f>
        <v>0</v>
      </c>
    </row>
    <row r="392" spans="1:7" ht="19.899999999999999" customHeight="1">
      <c r="A392" s="505"/>
      <c r="B392" s="466"/>
      <c r="C392" s="469"/>
      <c r="D392" s="470"/>
      <c r="E392" s="471">
        <f t="shared" ref="E392:E396" si="123">IFERROR(VLOOKUP(C392,T_Equipos,4,FALSE),0)</f>
        <v>0</v>
      </c>
      <c r="F392" s="472">
        <f t="shared" ref="F392:F396" si="124">IFERROR(VLOOKUP(C392,T_Equipos,5,FALSE),0)</f>
        <v>0</v>
      </c>
      <c r="G392" s="472">
        <f t="shared" si="122"/>
        <v>0</v>
      </c>
    </row>
    <row r="393" spans="1:7" ht="19.899999999999999" customHeight="1">
      <c r="A393" s="505"/>
      <c r="B393" s="466"/>
      <c r="C393" s="469"/>
      <c r="D393" s="470"/>
      <c r="E393" s="471">
        <f t="shared" si="123"/>
        <v>0</v>
      </c>
      <c r="F393" s="472">
        <f t="shared" si="124"/>
        <v>0</v>
      </c>
      <c r="G393" s="472">
        <f t="shared" si="122"/>
        <v>0</v>
      </c>
    </row>
    <row r="394" spans="1:7" ht="19.899999999999999" customHeight="1">
      <c r="A394" s="505"/>
      <c r="B394" s="466"/>
      <c r="C394" s="469"/>
      <c r="D394" s="470"/>
      <c r="E394" s="471">
        <f t="shared" si="123"/>
        <v>0</v>
      </c>
      <c r="F394" s="472">
        <f t="shared" si="124"/>
        <v>0</v>
      </c>
      <c r="G394" s="472">
        <f t="shared" si="122"/>
        <v>0</v>
      </c>
    </row>
    <row r="395" spans="1:7" ht="19.899999999999999" customHeight="1">
      <c r="A395" s="505"/>
      <c r="B395" s="466"/>
      <c r="C395" s="469"/>
      <c r="D395" s="470"/>
      <c r="E395" s="471">
        <f t="shared" si="123"/>
        <v>0</v>
      </c>
      <c r="F395" s="472">
        <f t="shared" si="124"/>
        <v>0</v>
      </c>
      <c r="G395" s="472">
        <f t="shared" si="122"/>
        <v>0</v>
      </c>
    </row>
    <row r="396" spans="1:7" ht="19.899999999999999" customHeight="1">
      <c r="A396" s="505"/>
      <c r="B396" s="466"/>
      <c r="C396" s="469"/>
      <c r="D396" s="470"/>
      <c r="E396" s="471">
        <f t="shared" si="123"/>
        <v>0</v>
      </c>
      <c r="F396" s="472">
        <f t="shared" si="124"/>
        <v>0</v>
      </c>
      <c r="G396" s="472">
        <f t="shared" si="122"/>
        <v>0</v>
      </c>
    </row>
    <row r="397" spans="1:7" ht="19.899999999999999" customHeight="1">
      <c r="A397" s="505"/>
      <c r="B397" s="466"/>
      <c r="C397" s="163"/>
      <c r="D397" s="163"/>
      <c r="E397" s="473"/>
      <c r="F397" s="458"/>
      <c r="G397" s="507"/>
    </row>
    <row r="398" spans="1:7" ht="19.899999999999999" customHeight="1">
      <c r="A398" s="505"/>
      <c r="B398" s="163"/>
      <c r="C398" s="455" t="s">
        <v>1003</v>
      </c>
      <c r="D398" s="458" t="s">
        <v>1000</v>
      </c>
      <c r="E398" s="524">
        <f>SUMPRODUCT(D387:D396,E387:E396)</f>
        <v>0</v>
      </c>
      <c r="F398" s="458" t="s">
        <v>1004</v>
      </c>
      <c r="G398" s="525">
        <f>SUM(G387:G396)</f>
        <v>0</v>
      </c>
    </row>
    <row r="399" spans="1:7" ht="19.899999999999999" customHeight="1">
      <c r="A399" s="505"/>
      <c r="B399" s="466"/>
      <c r="C399" s="474"/>
      <c r="D399" s="473"/>
      <c r="E399" s="460"/>
      <c r="F399" s="458"/>
      <c r="G399" s="511"/>
    </row>
    <row r="400" spans="1:7" ht="19.899999999999999" customHeight="1">
      <c r="A400" s="512"/>
      <c r="B400" s="466"/>
      <c r="C400" s="458" t="s">
        <v>1005</v>
      </c>
      <c r="D400" s="475"/>
      <c r="E400" s="476" t="str">
        <f ca="1">G382&amp;"/día"</f>
        <v>gl./día</v>
      </c>
      <c r="F400" s="452"/>
      <c r="G400" s="507"/>
    </row>
    <row r="401" spans="1:7" ht="19.899999999999999" customHeight="1">
      <c r="A401" s="505"/>
      <c r="B401" s="466"/>
      <c r="C401" s="163"/>
      <c r="D401" s="459"/>
      <c r="E401" s="460"/>
      <c r="F401" s="458"/>
      <c r="G401" s="507"/>
    </row>
    <row r="402" spans="1:7" ht="19.899999999999999" customHeight="1">
      <c r="A402" s="677" t="s">
        <v>575</v>
      </c>
      <c r="B402" s="678"/>
      <c r="C402" s="679" t="s">
        <v>0</v>
      </c>
      <c r="D402" s="691" t="s">
        <v>1864</v>
      </c>
      <c r="E402" s="691" t="s">
        <v>1863</v>
      </c>
      <c r="F402" s="683" t="s">
        <v>1006</v>
      </c>
      <c r="G402" s="685" t="s">
        <v>25</v>
      </c>
    </row>
    <row r="403" spans="1:7" ht="19.899999999999999" customHeight="1">
      <c r="A403" s="477" t="s">
        <v>576</v>
      </c>
      <c r="B403" s="477" t="s">
        <v>577</v>
      </c>
      <c r="C403" s="680"/>
      <c r="D403" s="692"/>
      <c r="E403" s="682"/>
      <c r="F403" s="684"/>
      <c r="G403" s="686"/>
    </row>
    <row r="404" spans="1:7" ht="19.899999999999999" customHeight="1">
      <c r="A404" s="513"/>
      <c r="B404" s="163"/>
      <c r="C404" s="455" t="s">
        <v>1007</v>
      </c>
      <c r="D404" s="460"/>
      <c r="E404" s="460"/>
      <c r="F404" s="163"/>
      <c r="G404" s="514"/>
    </row>
    <row r="405" spans="1:7" ht="19.899999999999999" customHeight="1">
      <c r="A405" s="515">
        <f t="shared" ref="A405:A413" si="125">IFERROR(VLOOKUP(C405,T_Insumos,4,FALSE),0)</f>
        <v>0</v>
      </c>
      <c r="B405" s="478">
        <f t="shared" ref="B405:B413" si="126">IFERROR(VLOOKUP(C405,T_Insumos,5,FALSE),0)</f>
        <v>0</v>
      </c>
      <c r="C405" s="469"/>
      <c r="D405" s="479">
        <f t="shared" ref="D405:D411" si="127">IFERROR(VLOOKUP(C405,T_Insumos,3,FALSE),0)</f>
        <v>0</v>
      </c>
      <c r="E405" s="472">
        <f>D405*$G$398</f>
        <v>0</v>
      </c>
      <c r="F405" s="475">
        <f>+$D$400</f>
        <v>0</v>
      </c>
      <c r="G405" s="472">
        <f>IFERROR(ROUND(E405/F405,2),0)</f>
        <v>0</v>
      </c>
    </row>
    <row r="406" spans="1:7" ht="19.899999999999999" customHeight="1">
      <c r="A406" s="515"/>
      <c r="B406" s="478"/>
      <c r="C406" s="469"/>
      <c r="D406" s="479">
        <f t="shared" si="127"/>
        <v>0</v>
      </c>
      <c r="E406" s="472">
        <f>D406*$G$398</f>
        <v>0</v>
      </c>
      <c r="F406" s="475">
        <f t="shared" ref="F406:F408" si="128">+$D$400</f>
        <v>0</v>
      </c>
      <c r="G406" s="472">
        <f t="shared" ref="G406:G413" si="129">IFERROR(ROUND(E406/F406,2),0)</f>
        <v>0</v>
      </c>
    </row>
    <row r="407" spans="1:7" ht="19.899999999999999" customHeight="1">
      <c r="A407" s="515">
        <f t="shared" si="125"/>
        <v>0</v>
      </c>
      <c r="B407" s="478">
        <f t="shared" si="126"/>
        <v>0</v>
      </c>
      <c r="C407" s="480"/>
      <c r="D407" s="479">
        <f t="shared" si="127"/>
        <v>0</v>
      </c>
      <c r="E407" s="472">
        <f>D407*$E$398</f>
        <v>0</v>
      </c>
      <c r="F407" s="475">
        <f t="shared" si="128"/>
        <v>0</v>
      </c>
      <c r="G407" s="472">
        <f t="shared" si="129"/>
        <v>0</v>
      </c>
    </row>
    <row r="408" spans="1:7" ht="19.899999999999999" customHeight="1">
      <c r="A408" s="515">
        <f t="shared" si="125"/>
        <v>0</v>
      </c>
      <c r="B408" s="478">
        <f t="shared" si="126"/>
        <v>0</v>
      </c>
      <c r="C408" s="480"/>
      <c r="D408" s="479">
        <f t="shared" si="127"/>
        <v>0</v>
      </c>
      <c r="E408" s="472">
        <f>D408*$E$398</f>
        <v>0</v>
      </c>
      <c r="F408" s="475">
        <f t="shared" si="128"/>
        <v>0</v>
      </c>
      <c r="G408" s="472">
        <f t="shared" si="129"/>
        <v>0</v>
      </c>
    </row>
    <row r="409" spans="1:7" ht="19.899999999999999" customHeight="1">
      <c r="A409" s="515">
        <f t="shared" si="125"/>
        <v>0</v>
      </c>
      <c r="B409" s="478">
        <f t="shared" si="126"/>
        <v>0</v>
      </c>
      <c r="C409" s="480"/>
      <c r="D409" s="479">
        <f t="shared" si="127"/>
        <v>0</v>
      </c>
      <c r="E409" s="472"/>
      <c r="F409" s="475">
        <f>IF(C409="",0,IFERROR(VLOOKUP(COUNTIF($A$1:A409,"ANALISIS DE PRECIOS"),T_Rendimiento_Equipo,5,FALSE),0))</f>
        <v>0</v>
      </c>
      <c r="G409" s="472">
        <f t="shared" si="129"/>
        <v>0</v>
      </c>
    </row>
    <row r="410" spans="1:7" ht="19.899999999999999" customHeight="1">
      <c r="A410" s="515">
        <f t="shared" si="125"/>
        <v>0</v>
      </c>
      <c r="B410" s="478">
        <f t="shared" si="126"/>
        <v>0</v>
      </c>
      <c r="C410" s="480"/>
      <c r="D410" s="479">
        <f t="shared" si="127"/>
        <v>0</v>
      </c>
      <c r="E410" s="472"/>
      <c r="F410" s="475">
        <f>IF(C410="",0,IFERROR(VLOOKUP(COUNTIF($A$1:A410,"ANALISIS DE PRECIOS"),T_Rendimiento_Equipo,5,FALSE),0))</f>
        <v>0</v>
      </c>
      <c r="G410" s="472">
        <f t="shared" si="129"/>
        <v>0</v>
      </c>
    </row>
    <row r="411" spans="1:7" ht="19.899999999999999" customHeight="1">
      <c r="A411" s="515">
        <f t="shared" si="125"/>
        <v>0</v>
      </c>
      <c r="B411" s="478">
        <f t="shared" si="126"/>
        <v>0</v>
      </c>
      <c r="C411" s="480"/>
      <c r="D411" s="479">
        <f t="shared" si="127"/>
        <v>0</v>
      </c>
      <c r="E411" s="472"/>
      <c r="F411" s="475">
        <f>IF(C411="",0,IFERROR(VLOOKUP(COUNTIF($A$1:A411,"ANALISIS DE PRECIOS"),T_Rendimiento_Equipo,5,FALSE),0))</f>
        <v>0</v>
      </c>
      <c r="G411" s="472">
        <f t="shared" si="129"/>
        <v>0</v>
      </c>
    </row>
    <row r="412" spans="1:7" ht="19.899999999999999" customHeight="1">
      <c r="A412" s="515">
        <f t="shared" si="125"/>
        <v>0</v>
      </c>
      <c r="B412" s="478">
        <f t="shared" si="126"/>
        <v>0</v>
      </c>
      <c r="C412" s="480"/>
      <c r="D412" s="479">
        <f t="shared" ref="D412:D413" si="130">IFERROR(VLOOKUP(C412,T_Insumos,3,FALSE),0)</f>
        <v>0</v>
      </c>
      <c r="E412" s="472"/>
      <c r="F412" s="475">
        <f>IF(C412="",0,IFERROR(VLOOKUP(COUNTIF($A$1:A412,"ANALISIS DE PRECIOS"),T_Rendimiento_Equipo,5,FALSE),0))</f>
        <v>0</v>
      </c>
      <c r="G412" s="472">
        <f t="shared" si="129"/>
        <v>0</v>
      </c>
    </row>
    <row r="413" spans="1:7" ht="19.899999999999999" customHeight="1">
      <c r="A413" s="515">
        <f t="shared" si="125"/>
        <v>0</v>
      </c>
      <c r="B413" s="478">
        <f t="shared" si="126"/>
        <v>0</v>
      </c>
      <c r="C413" s="469"/>
      <c r="D413" s="479">
        <f t="shared" si="130"/>
        <v>0</v>
      </c>
      <c r="E413" s="472"/>
      <c r="F413" s="475">
        <f>IF(C413="",0,IFERROR(VLOOKUP(COUNTIF($A$1:A413,"ANALISIS DE PRECIOS"),T_Rendimiento_Equipo,5,FALSE),0))</f>
        <v>0</v>
      </c>
      <c r="G413" s="472">
        <f t="shared" si="129"/>
        <v>0</v>
      </c>
    </row>
    <row r="414" spans="1:7" ht="19.899999999999999" customHeight="1">
      <c r="A414" s="516"/>
      <c r="B414" s="459"/>
      <c r="C414" s="163"/>
      <c r="D414" s="459"/>
      <c r="E414" s="460"/>
      <c r="F414" s="481" t="s">
        <v>26</v>
      </c>
      <c r="G414" s="517">
        <f>SUBTOTAL(9,G405:G413)</f>
        <v>0</v>
      </c>
    </row>
    <row r="415" spans="1:7" ht="19.899999999999999" customHeight="1">
      <c r="A415" s="513"/>
      <c r="B415" s="163"/>
      <c r="C415" s="455" t="s">
        <v>712</v>
      </c>
      <c r="D415" s="459"/>
      <c r="E415" s="460"/>
      <c r="F415" s="461"/>
      <c r="G415" s="514"/>
    </row>
    <row r="416" spans="1:7" ht="19.899999999999999" customHeight="1">
      <c r="A416" s="677" t="s">
        <v>575</v>
      </c>
      <c r="B416" s="678"/>
      <c r="C416" s="679" t="s">
        <v>0</v>
      </c>
      <c r="D416" s="681" t="s">
        <v>23</v>
      </c>
      <c r="E416" s="681" t="s">
        <v>1830</v>
      </c>
      <c r="F416" s="683" t="s">
        <v>1006</v>
      </c>
      <c r="G416" s="685" t="s">
        <v>25</v>
      </c>
    </row>
    <row r="417" spans="1:7" ht="19.899999999999999" customHeight="1">
      <c r="A417" s="477" t="s">
        <v>576</v>
      </c>
      <c r="B417" s="477" t="s">
        <v>577</v>
      </c>
      <c r="C417" s="680"/>
      <c r="D417" s="682"/>
      <c r="E417" s="682"/>
      <c r="F417" s="684"/>
      <c r="G417" s="686"/>
    </row>
    <row r="418" spans="1:7" ht="19.899999999999999" customHeight="1">
      <c r="A418" s="515"/>
      <c r="B418" s="478"/>
      <c r="C418" s="482"/>
      <c r="D418" s="475"/>
      <c r="E418" s="472">
        <f t="shared" ref="E418:E422" si="131">SUMPRODUCT(D413:D416,E413:E416)</f>
        <v>0</v>
      </c>
      <c r="F418" s="475">
        <f>+$D$400</f>
        <v>0</v>
      </c>
      <c r="G418" s="472">
        <f>IFERROR(ROUND(D418*E418/F418,2),0)</f>
        <v>0</v>
      </c>
    </row>
    <row r="419" spans="1:7" ht="19.899999999999999" customHeight="1">
      <c r="A419" s="515"/>
      <c r="B419" s="478"/>
      <c r="C419" s="469"/>
      <c r="D419" s="475"/>
      <c r="E419" s="472">
        <f t="shared" si="131"/>
        <v>0</v>
      </c>
      <c r="F419" s="475">
        <f t="shared" ref="F419:F423" si="132">+$D$400</f>
        <v>0</v>
      </c>
      <c r="G419" s="472">
        <f t="shared" ref="G419:G424" si="133">IFERROR(ROUND(D419*E419/F419,2),0)</f>
        <v>0</v>
      </c>
    </row>
    <row r="420" spans="1:7" ht="19.899999999999999" customHeight="1">
      <c r="A420" s="515"/>
      <c r="B420" s="478"/>
      <c r="C420" s="469"/>
      <c r="D420" s="475"/>
      <c r="E420" s="472">
        <f t="shared" si="131"/>
        <v>0</v>
      </c>
      <c r="F420" s="475">
        <f t="shared" si="132"/>
        <v>0</v>
      </c>
      <c r="G420" s="472">
        <f t="shared" si="133"/>
        <v>0</v>
      </c>
    </row>
    <row r="421" spans="1:7" ht="19.899999999999999" customHeight="1">
      <c r="A421" s="515"/>
      <c r="B421" s="478"/>
      <c r="C421" s="469"/>
      <c r="D421" s="475"/>
      <c r="E421" s="472">
        <f t="shared" si="131"/>
        <v>0</v>
      </c>
      <c r="F421" s="475">
        <f t="shared" si="132"/>
        <v>0</v>
      </c>
      <c r="G421" s="472">
        <f t="shared" si="133"/>
        <v>0</v>
      </c>
    </row>
    <row r="422" spans="1:7" ht="19.899999999999999" customHeight="1">
      <c r="A422" s="515">
        <f t="shared" ref="A422:A424" si="134">IFERROR(VLOOKUP(C422,T_Insumos,4,FALSE),0)</f>
        <v>0</v>
      </c>
      <c r="B422" s="478">
        <f t="shared" ref="B422:B424" si="135">IFERROR(VLOOKUP(C422,T_Insumos,5,FALSE),0)</f>
        <v>0</v>
      </c>
      <c r="C422" s="469"/>
      <c r="D422" s="475"/>
      <c r="E422" s="472">
        <f t="shared" si="131"/>
        <v>0</v>
      </c>
      <c r="F422" s="475">
        <f>IF(C422="",0,IFERROR(VLOOKUP(COUNTIF($A$1:A422,"ANALISIS DE PRECIOS"),T_Rendimiento_Equipo,5,FALSE),0))</f>
        <v>0</v>
      </c>
      <c r="G422" s="472">
        <f t="shared" si="133"/>
        <v>0</v>
      </c>
    </row>
    <row r="423" spans="1:7" ht="19.899999999999999" customHeight="1">
      <c r="A423" s="515">
        <f t="shared" si="134"/>
        <v>0</v>
      </c>
      <c r="B423" s="478">
        <f t="shared" si="135"/>
        <v>0</v>
      </c>
      <c r="C423" s="469"/>
      <c r="D423" s="483"/>
      <c r="E423" s="472">
        <f>SUMPRODUCT(D418:D421,E418:E421)</f>
        <v>0</v>
      </c>
      <c r="F423" s="475">
        <f t="shared" si="132"/>
        <v>0</v>
      </c>
      <c r="G423" s="472">
        <f t="shared" si="133"/>
        <v>0</v>
      </c>
    </row>
    <row r="424" spans="1:7" ht="19.899999999999999" customHeight="1">
      <c r="A424" s="515">
        <f t="shared" si="134"/>
        <v>0</v>
      </c>
      <c r="B424" s="478">
        <f t="shared" si="135"/>
        <v>0</v>
      </c>
      <c r="C424" s="478"/>
      <c r="D424" s="484"/>
      <c r="E424" s="472">
        <f t="shared" ref="E424" si="136">IFERROR(VLOOKUP(C424,T_Insumos,3,FALSE),0)</f>
        <v>0</v>
      </c>
      <c r="F424" s="475">
        <f>IF(C424="",0,IFERROR(VLOOKUP(COUNTIF($A$1:A424,"ANALISIS DE PRECIOS"),T_Rendimiento_Equipo,5,FALSE),0))</f>
        <v>0</v>
      </c>
      <c r="G424" s="472">
        <f t="shared" si="133"/>
        <v>0</v>
      </c>
    </row>
    <row r="425" spans="1:7" ht="19.899999999999999" customHeight="1">
      <c r="A425" s="516"/>
      <c r="B425" s="459"/>
      <c r="C425" s="163"/>
      <c r="D425" s="459"/>
      <c r="E425" s="460"/>
      <c r="F425" s="481" t="s">
        <v>27</v>
      </c>
      <c r="G425" s="518">
        <f>SUBTOTAL(9,G418:G424)</f>
        <v>0</v>
      </c>
    </row>
    <row r="426" spans="1:7" ht="19.899999999999999" customHeight="1">
      <c r="A426" s="513"/>
      <c r="B426" s="163"/>
      <c r="C426" s="455" t="s">
        <v>1013</v>
      </c>
      <c r="D426" s="459"/>
      <c r="E426" s="460"/>
      <c r="F426" s="461"/>
      <c r="G426" s="514"/>
    </row>
    <row r="427" spans="1:7" ht="19.899999999999999" customHeight="1">
      <c r="A427" s="677" t="s">
        <v>575</v>
      </c>
      <c r="B427" s="678"/>
      <c r="C427" s="679" t="s">
        <v>0</v>
      </c>
      <c r="D427" s="679" t="s">
        <v>1865</v>
      </c>
      <c r="E427" s="681" t="s">
        <v>23</v>
      </c>
      <c r="F427" s="683" t="s">
        <v>24</v>
      </c>
      <c r="G427" s="685" t="s">
        <v>25</v>
      </c>
    </row>
    <row r="428" spans="1:7" ht="19.899999999999999" customHeight="1">
      <c r="A428" s="477" t="s">
        <v>576</v>
      </c>
      <c r="B428" s="477" t="s">
        <v>577</v>
      </c>
      <c r="C428" s="680"/>
      <c r="D428" s="680"/>
      <c r="E428" s="682"/>
      <c r="F428" s="684"/>
      <c r="G428" s="686"/>
    </row>
    <row r="429" spans="1:7" ht="19.899999999999999" customHeight="1">
      <c r="A429" s="515">
        <f t="shared" ref="A429:A439" si="137">IFERROR(VLOOKUP(C429,T_Insumos,4,FALSE),0)</f>
        <v>0</v>
      </c>
      <c r="B429" s="478">
        <f t="shared" ref="B429:B439" si="138">IFERROR(VLOOKUP(C429,T_Insumos,5,FALSE),0)</f>
        <v>0</v>
      </c>
      <c r="C429" s="478"/>
      <c r="D429" s="526"/>
      <c r="E429" s="470"/>
      <c r="F429" s="472">
        <f t="shared" ref="F429:F436" si="139">IFERROR(VLOOKUP(C429,T_Insumos,3,FALSE),0)</f>
        <v>0</v>
      </c>
      <c r="G429" s="472">
        <f>ROUND(E429*F429,2)</f>
        <v>0</v>
      </c>
    </row>
    <row r="430" spans="1:7" ht="19.899999999999999" customHeight="1">
      <c r="A430" s="515">
        <f t="shared" si="137"/>
        <v>0</v>
      </c>
      <c r="B430" s="478">
        <f t="shared" si="138"/>
        <v>0</v>
      </c>
      <c r="C430" s="478"/>
      <c r="D430" s="526"/>
      <c r="E430" s="470"/>
      <c r="F430" s="472">
        <f t="shared" si="139"/>
        <v>0</v>
      </c>
      <c r="G430" s="472">
        <f t="shared" ref="G430:G439" si="140">ROUND(E430*F430,2)</f>
        <v>0</v>
      </c>
    </row>
    <row r="431" spans="1:7" ht="19.899999999999999" customHeight="1">
      <c r="A431" s="515">
        <f t="shared" si="137"/>
        <v>0</v>
      </c>
      <c r="B431" s="478">
        <f t="shared" si="138"/>
        <v>0</v>
      </c>
      <c r="C431" s="478"/>
      <c r="D431" s="526"/>
      <c r="E431" s="470"/>
      <c r="F431" s="472">
        <f t="shared" si="139"/>
        <v>0</v>
      </c>
      <c r="G431" s="472">
        <f t="shared" si="140"/>
        <v>0</v>
      </c>
    </row>
    <row r="432" spans="1:7" ht="19.899999999999999" customHeight="1">
      <c r="A432" s="515">
        <f t="shared" si="137"/>
        <v>0</v>
      </c>
      <c r="B432" s="478">
        <f t="shared" si="138"/>
        <v>0</v>
      </c>
      <c r="C432" s="478"/>
      <c r="D432" s="526"/>
      <c r="E432" s="470"/>
      <c r="F432" s="472">
        <f t="shared" si="139"/>
        <v>0</v>
      </c>
      <c r="G432" s="472">
        <f t="shared" si="140"/>
        <v>0</v>
      </c>
    </row>
    <row r="433" spans="1:7" ht="19.899999999999999" customHeight="1">
      <c r="A433" s="515">
        <f t="shared" si="137"/>
        <v>0</v>
      </c>
      <c r="B433" s="478">
        <f t="shared" si="138"/>
        <v>0</v>
      </c>
      <c r="C433" s="478"/>
      <c r="D433" s="526">
        <f t="shared" ref="D433:D439" si="141">IFERROR(VLOOKUP(C433,T_Insumos,2,FALSE),0)</f>
        <v>0</v>
      </c>
      <c r="E433" s="470"/>
      <c r="F433" s="472">
        <f t="shared" si="139"/>
        <v>0</v>
      </c>
      <c r="G433" s="472">
        <f t="shared" si="140"/>
        <v>0</v>
      </c>
    </row>
    <row r="434" spans="1:7" ht="19.899999999999999" customHeight="1">
      <c r="A434" s="515">
        <f t="shared" si="137"/>
        <v>0</v>
      </c>
      <c r="B434" s="478">
        <f t="shared" si="138"/>
        <v>0</v>
      </c>
      <c r="C434" s="478"/>
      <c r="D434" s="526">
        <f t="shared" si="141"/>
        <v>0</v>
      </c>
      <c r="E434" s="470"/>
      <c r="F434" s="472">
        <f t="shared" si="139"/>
        <v>0</v>
      </c>
      <c r="G434" s="472">
        <f t="shared" si="140"/>
        <v>0</v>
      </c>
    </row>
    <row r="435" spans="1:7" ht="19.899999999999999" customHeight="1">
      <c r="A435" s="515">
        <f t="shared" si="137"/>
        <v>0</v>
      </c>
      <c r="B435" s="478">
        <f t="shared" si="138"/>
        <v>0</v>
      </c>
      <c r="C435" s="478"/>
      <c r="D435" s="526">
        <f t="shared" si="141"/>
        <v>0</v>
      </c>
      <c r="E435" s="470"/>
      <c r="F435" s="472">
        <f t="shared" si="139"/>
        <v>0</v>
      </c>
      <c r="G435" s="472">
        <f t="shared" si="140"/>
        <v>0</v>
      </c>
    </row>
    <row r="436" spans="1:7" ht="19.899999999999999" customHeight="1">
      <c r="A436" s="515">
        <f t="shared" si="137"/>
        <v>0</v>
      </c>
      <c r="B436" s="478">
        <f t="shared" si="138"/>
        <v>0</v>
      </c>
      <c r="C436" s="478"/>
      <c r="D436" s="526">
        <f t="shared" si="141"/>
        <v>0</v>
      </c>
      <c r="E436" s="470"/>
      <c r="F436" s="472">
        <f t="shared" si="139"/>
        <v>0</v>
      </c>
      <c r="G436" s="472">
        <f t="shared" si="140"/>
        <v>0</v>
      </c>
    </row>
    <row r="437" spans="1:7" ht="19.899999999999999" customHeight="1">
      <c r="A437" s="515">
        <f t="shared" si="137"/>
        <v>0</v>
      </c>
      <c r="B437" s="478">
        <f t="shared" si="138"/>
        <v>0</v>
      </c>
      <c r="C437" s="478"/>
      <c r="D437" s="526">
        <f t="shared" si="141"/>
        <v>0</v>
      </c>
      <c r="E437" s="470"/>
      <c r="F437" s="472">
        <f t="shared" ref="F437:F439" si="142">IFERROR(VLOOKUP(C437,T_Insumos,3,FALSE),0)</f>
        <v>0</v>
      </c>
      <c r="G437" s="472">
        <f t="shared" si="140"/>
        <v>0</v>
      </c>
    </row>
    <row r="438" spans="1:7" ht="19.899999999999999" customHeight="1">
      <c r="A438" s="515">
        <f t="shared" si="137"/>
        <v>0</v>
      </c>
      <c r="B438" s="478">
        <f t="shared" si="138"/>
        <v>0</v>
      </c>
      <c r="C438" s="478"/>
      <c r="D438" s="526">
        <f t="shared" si="141"/>
        <v>0</v>
      </c>
      <c r="E438" s="470"/>
      <c r="F438" s="472">
        <f t="shared" si="142"/>
        <v>0</v>
      </c>
      <c r="G438" s="472">
        <f t="shared" si="140"/>
        <v>0</v>
      </c>
    </row>
    <row r="439" spans="1:7" ht="19.899999999999999" customHeight="1">
      <c r="A439" s="515">
        <f t="shared" si="137"/>
        <v>0</v>
      </c>
      <c r="B439" s="478">
        <f t="shared" si="138"/>
        <v>0</v>
      </c>
      <c r="C439" s="478"/>
      <c r="D439" s="526">
        <f t="shared" si="141"/>
        <v>0</v>
      </c>
      <c r="E439" s="470"/>
      <c r="F439" s="472">
        <f t="shared" si="142"/>
        <v>0</v>
      </c>
      <c r="G439" s="472">
        <f t="shared" si="140"/>
        <v>0</v>
      </c>
    </row>
    <row r="440" spans="1:7" ht="19.899999999999999" customHeight="1">
      <c r="A440" s="513"/>
      <c r="B440" s="163"/>
      <c r="C440" s="163"/>
      <c r="D440" s="459"/>
      <c r="E440" s="460"/>
      <c r="F440" s="481" t="s">
        <v>28</v>
      </c>
      <c r="G440" s="518">
        <f>SUBTOTAL(9,G429:G439)</f>
        <v>0</v>
      </c>
    </row>
    <row r="441" spans="1:7" ht="19.899999999999999" customHeight="1">
      <c r="A441" s="513"/>
      <c r="B441" s="163"/>
      <c r="C441" s="455" t="s">
        <v>1014</v>
      </c>
      <c r="D441" s="459"/>
      <c r="E441" s="460"/>
      <c r="F441" s="461"/>
      <c r="G441" s="514"/>
    </row>
    <row r="442" spans="1:7" ht="19.899999999999999" customHeight="1">
      <c r="A442" s="677" t="s">
        <v>575</v>
      </c>
      <c r="B442" s="678"/>
      <c r="C442" s="679" t="s">
        <v>0</v>
      </c>
      <c r="D442" s="679" t="s">
        <v>1865</v>
      </c>
      <c r="E442" s="681" t="s">
        <v>23</v>
      </c>
      <c r="F442" s="683" t="s">
        <v>24</v>
      </c>
      <c r="G442" s="685" t="s">
        <v>25</v>
      </c>
    </row>
    <row r="443" spans="1:7" ht="19.899999999999999" customHeight="1">
      <c r="A443" s="477" t="s">
        <v>576</v>
      </c>
      <c r="B443" s="477" t="s">
        <v>577</v>
      </c>
      <c r="C443" s="680"/>
      <c r="D443" s="680"/>
      <c r="E443" s="682"/>
      <c r="F443" s="684"/>
      <c r="G443" s="686"/>
    </row>
    <row r="444" spans="1:7" ht="19.899999999999999" customHeight="1">
      <c r="A444" s="515">
        <f>IFERROR(VLOOKUP(C444,T_Insumos,4,FALSE),0)</f>
        <v>0</v>
      </c>
      <c r="B444" s="478">
        <f>IFERROR(VLOOKUP(C444,T_Insumos,5,FALSE),0)</f>
        <v>0</v>
      </c>
      <c r="C444" s="469"/>
      <c r="D444" s="526">
        <f>IF(C444=0,0,"$/tnkm")</f>
        <v>0</v>
      </c>
      <c r="E444" s="470"/>
      <c r="F444" s="472">
        <f>IFERROR(VLOOKUP(C444,T_Insumos,3,FALSE),0)</f>
        <v>0</v>
      </c>
      <c r="G444" s="472">
        <f>ROUND(E444*F444,2)</f>
        <v>0</v>
      </c>
    </row>
    <row r="445" spans="1:7" ht="19.899999999999999" customHeight="1">
      <c r="A445" s="515">
        <f>IFERROR(VLOOKUP(C445,T_Insumos,4,FALSE),0)</f>
        <v>0</v>
      </c>
      <c r="B445" s="478">
        <f>IFERROR(VLOOKUP(C445,T_Insumos,5,FALSE),0)</f>
        <v>0</v>
      </c>
      <c r="C445" s="469"/>
      <c r="D445" s="526">
        <f>IF(C445=0,0,"$/tnkm")</f>
        <v>0</v>
      </c>
      <c r="E445" s="486"/>
      <c r="F445" s="472">
        <f>IFERROR(VLOOKUP(C445,T_Insumos,3,FALSE),0)</f>
        <v>0</v>
      </c>
      <c r="G445" s="472">
        <f t="shared" ref="G445" si="143">ROUND(E445*F445,2)</f>
        <v>0</v>
      </c>
    </row>
    <row r="446" spans="1:7" ht="19.899999999999999" customHeight="1">
      <c r="A446" s="513"/>
      <c r="B446" s="163"/>
      <c r="C446" s="163"/>
      <c r="D446" s="459"/>
      <c r="E446" s="460"/>
      <c r="F446" s="481" t="s">
        <v>1015</v>
      </c>
      <c r="G446" s="518">
        <f>SUBTOTAL(9,G444:G445)</f>
        <v>0</v>
      </c>
    </row>
    <row r="447" spans="1:7" ht="19.899999999999999" customHeight="1">
      <c r="A447" s="516"/>
      <c r="B447" s="459"/>
      <c r="C447" s="163"/>
      <c r="D447" s="459"/>
      <c r="E447" s="460"/>
      <c r="F447" s="461"/>
      <c r="G447" s="514"/>
    </row>
    <row r="448" spans="1:7" ht="19.899999999999999" customHeight="1">
      <c r="A448" s="574" t="str">
        <f>B382</f>
        <v>3.1.3</v>
      </c>
      <c r="B448" s="571" t="str">
        <f ca="1">C382</f>
        <v>Grupo electrógeno 20kVA</v>
      </c>
      <c r="C448" s="459"/>
      <c r="D448" s="459" t="s">
        <v>1831</v>
      </c>
      <c r="E448" s="572"/>
      <c r="F448" s="573" t="str">
        <f ca="1">"$/"&amp;G382</f>
        <v>$/gl.</v>
      </c>
      <c r="G448" s="523">
        <f>SUBTOTAL(9,G405:G447)</f>
        <v>0</v>
      </c>
    </row>
    <row r="449" spans="1:7" ht="19.899999999999999" customHeight="1">
      <c r="A449" s="519"/>
      <c r="B449" s="520"/>
      <c r="C449" s="521"/>
      <c r="D449" s="521" t="s">
        <v>2041</v>
      </c>
      <c r="E449" s="522"/>
      <c r="F449" s="575" t="str">
        <f ca="1">"$/"&amp;G382</f>
        <v>$/gl.</v>
      </c>
      <c r="G449" s="523">
        <f>ROUND(G448*Coeficiente_Paso,2)</f>
        <v>0</v>
      </c>
    </row>
    <row r="450" spans="1:7" ht="19.899999999999999" customHeight="1">
      <c r="A450" s="163"/>
      <c r="B450" s="163"/>
      <c r="C450" s="163"/>
      <c r="D450" s="163"/>
      <c r="E450" s="163"/>
      <c r="F450" s="163"/>
      <c r="G450" s="163"/>
    </row>
    <row r="451" spans="1:7" ht="19.899999999999999" customHeight="1">
      <c r="A451" s="687" t="s">
        <v>30</v>
      </c>
      <c r="B451" s="688"/>
      <c r="C451" s="688"/>
      <c r="D451" s="688"/>
      <c r="E451" s="688"/>
      <c r="F451" s="688"/>
      <c r="G451" s="689"/>
    </row>
    <row r="452" spans="1:7" ht="19.899999999999999" customHeight="1">
      <c r="A452" s="502" t="s">
        <v>710</v>
      </c>
      <c r="B452" s="453" t="str">
        <f>Comitente</f>
        <v>DEPARTAMENTO DE HIDRAULICA</v>
      </c>
      <c r="C452" s="454"/>
      <c r="D452" s="455"/>
      <c r="E452" s="455"/>
      <c r="F452" s="456"/>
      <c r="G452" s="503"/>
    </row>
    <row r="453" spans="1:7" ht="19.899999999999999" customHeight="1">
      <c r="A453" s="502" t="s">
        <v>711</v>
      </c>
      <c r="B453" s="453">
        <f>Contratista</f>
        <v>0</v>
      </c>
      <c r="C453" s="457"/>
      <c r="D453" s="457"/>
      <c r="E453" s="457"/>
      <c r="F453" s="453"/>
      <c r="G453" s="504"/>
    </row>
    <row r="454" spans="1:7" ht="19.899999999999999" customHeight="1">
      <c r="A454" s="502" t="s">
        <v>20</v>
      </c>
      <c r="B454" s="453" t="str">
        <f>Obra</f>
        <v>MEJORA DE LA RED DE RIEGO DEL VALLE DE JÁCHAL</v>
      </c>
      <c r="C454" s="457"/>
      <c r="D454" s="457"/>
      <c r="E454" s="457"/>
      <c r="F454" s="453" t="s">
        <v>31</v>
      </c>
      <c r="G454" s="504" t="str">
        <f>Fecha_Base</f>
        <v>XX/07/2020</v>
      </c>
    </row>
    <row r="455" spans="1:7" ht="19.899999999999999" customHeight="1">
      <c r="A455" s="505" t="s">
        <v>709</v>
      </c>
      <c r="B455" s="458" t="str">
        <f>Ubicación</f>
        <v>JACHAL</v>
      </c>
      <c r="C455" s="458"/>
      <c r="D455" s="459"/>
      <c r="E455" s="460"/>
      <c r="F455" s="461"/>
      <c r="G455" s="506"/>
    </row>
    <row r="456" spans="1:7" ht="19.899999999999999" customHeight="1">
      <c r="A456" s="505" t="s">
        <v>32</v>
      </c>
      <c r="B456" s="462">
        <f>IFERROR(VALUE(LEFT(B457,FIND(".",B457)-1)),"")</f>
        <v>3</v>
      </c>
      <c r="C456" s="163" t="str">
        <f ca="1">IFERROR(VLOOKUP(B456,T_Computo_Presupuesto,2,FALSE),0)</f>
        <v>AZUD PACHIMOCO</v>
      </c>
      <c r="D456" s="163"/>
      <c r="E456" s="460"/>
      <c r="F456" s="461"/>
      <c r="G456" s="506"/>
    </row>
    <row r="457" spans="1:7" ht="19.899999999999999" customHeight="1">
      <c r="A457" s="505" t="s">
        <v>21</v>
      </c>
      <c r="B457" s="463" t="str">
        <f>IFERROR(VLOOKUP(COUNTIF($A$1:A457,"ANALISIS DE PRECIOS"),T_NumeroItem,2,FALSE),"")</f>
        <v>3.2.1</v>
      </c>
      <c r="C457" s="690" t="str">
        <f ca="1">IFERROR(VLOOKUP(B457,T_Computo_Presupuesto,2,FALSE),0)</f>
        <v>Reemplazo de compuertas desripiador</v>
      </c>
      <c r="D457" s="690"/>
      <c r="E457" s="690"/>
      <c r="F457" s="458" t="s">
        <v>22</v>
      </c>
      <c r="G457" s="507" t="str">
        <f ca="1">IFERROR(VLOOKUP(B457,T_Computo_Presupuesto,4,FALSE),0)</f>
        <v>gl.</v>
      </c>
    </row>
    <row r="458" spans="1:7" ht="19.899999999999999" customHeight="1">
      <c r="A458" s="505"/>
      <c r="B458" s="458"/>
      <c r="C458" s="163"/>
      <c r="D458" s="459"/>
      <c r="E458" s="460"/>
      <c r="F458" s="163"/>
      <c r="G458" s="508"/>
    </row>
    <row r="459" spans="1:7" ht="19.899999999999999" customHeight="1">
      <c r="A459" s="509"/>
      <c r="B459" s="464"/>
      <c r="C459" s="465" t="s">
        <v>998</v>
      </c>
      <c r="D459" s="464"/>
      <c r="E459" s="464"/>
      <c r="F459" s="464"/>
      <c r="G459" s="510"/>
    </row>
    <row r="460" spans="1:7" ht="19.899999999999999" customHeight="1">
      <c r="A460" s="505"/>
      <c r="B460" s="466"/>
      <c r="C460" s="163"/>
      <c r="D460" s="459"/>
      <c r="E460" s="460"/>
      <c r="F460" s="458"/>
      <c r="G460" s="507"/>
    </row>
    <row r="461" spans="1:7" ht="19.899999999999999" customHeight="1">
      <c r="A461" s="505"/>
      <c r="B461" s="466"/>
      <c r="C461" s="467" t="s">
        <v>999</v>
      </c>
      <c r="D461" s="468" t="s">
        <v>23</v>
      </c>
      <c r="E461" s="468" t="s">
        <v>1000</v>
      </c>
      <c r="F461" s="468" t="s">
        <v>1001</v>
      </c>
      <c r="G461" s="467" t="s">
        <v>1002</v>
      </c>
    </row>
    <row r="462" spans="1:7" ht="19.899999999999999" customHeight="1">
      <c r="A462" s="505"/>
      <c r="B462" s="466"/>
      <c r="C462" s="469"/>
      <c r="D462" s="470"/>
      <c r="E462" s="471">
        <f t="shared" ref="E462:E467" si="144">IFERROR(VLOOKUP(C462,T_Equipos,4,FALSE),0)</f>
        <v>0</v>
      </c>
      <c r="F462" s="472">
        <f t="shared" ref="F462:F467" si="145">IFERROR(VLOOKUP(C462,T_Equipos,5,FALSE),0)</f>
        <v>0</v>
      </c>
      <c r="G462" s="472">
        <f>ROUND(D462*F462,2)</f>
        <v>0</v>
      </c>
    </row>
    <row r="463" spans="1:7" ht="19.899999999999999" customHeight="1">
      <c r="A463" s="505"/>
      <c r="B463" s="466"/>
      <c r="C463" s="469"/>
      <c r="D463" s="470"/>
      <c r="E463" s="471">
        <f t="shared" si="144"/>
        <v>0</v>
      </c>
      <c r="F463" s="472">
        <f t="shared" si="145"/>
        <v>0</v>
      </c>
      <c r="G463" s="472">
        <f>ROUND(D463*F463,2)</f>
        <v>0</v>
      </c>
    </row>
    <row r="464" spans="1:7" ht="19.899999999999999" customHeight="1">
      <c r="A464" s="505"/>
      <c r="B464" s="466"/>
      <c r="C464" s="469"/>
      <c r="D464" s="470"/>
      <c r="E464" s="471">
        <f t="shared" si="144"/>
        <v>0</v>
      </c>
      <c r="F464" s="472">
        <f t="shared" si="145"/>
        <v>0</v>
      </c>
      <c r="G464" s="472">
        <f>ROUND(D464*F464,2)</f>
        <v>0</v>
      </c>
    </row>
    <row r="465" spans="1:7" ht="19.899999999999999" customHeight="1">
      <c r="A465" s="505"/>
      <c r="B465" s="466"/>
      <c r="C465" s="469"/>
      <c r="D465" s="470"/>
      <c r="E465" s="471">
        <f t="shared" si="144"/>
        <v>0</v>
      </c>
      <c r="F465" s="472">
        <f t="shared" si="145"/>
        <v>0</v>
      </c>
      <c r="G465" s="472">
        <f>ROUND(D465*F465,2)</f>
        <v>0</v>
      </c>
    </row>
    <row r="466" spans="1:7" ht="19.899999999999999" customHeight="1">
      <c r="A466" s="505"/>
      <c r="B466" s="466"/>
      <c r="C466" s="469"/>
      <c r="D466" s="470"/>
      <c r="E466" s="471">
        <f t="shared" si="144"/>
        <v>0</v>
      </c>
      <c r="F466" s="472">
        <f t="shared" si="145"/>
        <v>0</v>
      </c>
      <c r="G466" s="472">
        <f t="shared" ref="G466:G471" si="146">ROUND(D466*F466,2)</f>
        <v>0</v>
      </c>
    </row>
    <row r="467" spans="1:7" ht="19.899999999999999" customHeight="1">
      <c r="A467" s="505"/>
      <c r="B467" s="466"/>
      <c r="C467" s="469"/>
      <c r="D467" s="470"/>
      <c r="E467" s="471">
        <f t="shared" si="144"/>
        <v>0</v>
      </c>
      <c r="F467" s="472">
        <f t="shared" si="145"/>
        <v>0</v>
      </c>
      <c r="G467" s="472">
        <f t="shared" si="146"/>
        <v>0</v>
      </c>
    </row>
    <row r="468" spans="1:7" ht="19.899999999999999" customHeight="1">
      <c r="A468" s="505"/>
      <c r="B468" s="466"/>
      <c r="C468" s="469"/>
      <c r="D468" s="470"/>
      <c r="E468" s="471">
        <f t="shared" ref="E468:E471" si="147">IFERROR(VLOOKUP(C468,T_Equipos,4,FALSE),0)</f>
        <v>0</v>
      </c>
      <c r="F468" s="472">
        <f t="shared" ref="F468:F471" si="148">IFERROR(VLOOKUP(C468,T_Equipos,5,FALSE),0)</f>
        <v>0</v>
      </c>
      <c r="G468" s="472">
        <f t="shared" si="146"/>
        <v>0</v>
      </c>
    </row>
    <row r="469" spans="1:7" ht="19.899999999999999" customHeight="1">
      <c r="A469" s="505"/>
      <c r="B469" s="466"/>
      <c r="C469" s="469"/>
      <c r="D469" s="470"/>
      <c r="E469" s="471">
        <f t="shared" si="147"/>
        <v>0</v>
      </c>
      <c r="F469" s="472">
        <f t="shared" si="148"/>
        <v>0</v>
      </c>
      <c r="G469" s="472">
        <f t="shared" si="146"/>
        <v>0</v>
      </c>
    </row>
    <row r="470" spans="1:7" ht="19.899999999999999" customHeight="1">
      <c r="A470" s="505"/>
      <c r="B470" s="466"/>
      <c r="C470" s="469"/>
      <c r="D470" s="470"/>
      <c r="E470" s="471">
        <f t="shared" si="147"/>
        <v>0</v>
      </c>
      <c r="F470" s="472">
        <f t="shared" si="148"/>
        <v>0</v>
      </c>
      <c r="G470" s="472">
        <f t="shared" si="146"/>
        <v>0</v>
      </c>
    </row>
    <row r="471" spans="1:7" ht="19.899999999999999" customHeight="1">
      <c r="A471" s="505"/>
      <c r="B471" s="466"/>
      <c r="C471" s="469"/>
      <c r="D471" s="470"/>
      <c r="E471" s="471">
        <f t="shared" si="147"/>
        <v>0</v>
      </c>
      <c r="F471" s="472">
        <f t="shared" si="148"/>
        <v>0</v>
      </c>
      <c r="G471" s="472">
        <f t="shared" si="146"/>
        <v>0</v>
      </c>
    </row>
    <row r="472" spans="1:7" ht="19.899999999999999" customHeight="1">
      <c r="A472" s="505"/>
      <c r="B472" s="466"/>
      <c r="C472" s="163"/>
      <c r="D472" s="163"/>
      <c r="E472" s="473"/>
      <c r="F472" s="458"/>
      <c r="G472" s="507"/>
    </row>
    <row r="473" spans="1:7" ht="19.899999999999999" customHeight="1">
      <c r="A473" s="505"/>
      <c r="B473" s="163"/>
      <c r="C473" s="455" t="s">
        <v>1003</v>
      </c>
      <c r="D473" s="458" t="s">
        <v>1000</v>
      </c>
      <c r="E473" s="524">
        <f>SUMPRODUCT(D462:D471,E462:E471)</f>
        <v>0</v>
      </c>
      <c r="F473" s="458" t="s">
        <v>1004</v>
      </c>
      <c r="G473" s="525">
        <f>SUM(G462:G471)</f>
        <v>0</v>
      </c>
    </row>
    <row r="474" spans="1:7" ht="19.899999999999999" customHeight="1">
      <c r="A474" s="505"/>
      <c r="B474" s="466"/>
      <c r="C474" s="474"/>
      <c r="D474" s="473"/>
      <c r="E474" s="460"/>
      <c r="F474" s="458"/>
      <c r="G474" s="511"/>
    </row>
    <row r="475" spans="1:7" ht="19.899999999999999" customHeight="1">
      <c r="A475" s="512"/>
      <c r="B475" s="466"/>
      <c r="C475" s="458" t="s">
        <v>1005</v>
      </c>
      <c r="D475" s="475"/>
      <c r="E475" s="476" t="str">
        <f ca="1">G457&amp;"/día"</f>
        <v>gl./día</v>
      </c>
      <c r="F475" s="452"/>
      <c r="G475" s="507"/>
    </row>
    <row r="476" spans="1:7" ht="19.899999999999999" customHeight="1">
      <c r="A476" s="505"/>
      <c r="B476" s="466"/>
      <c r="C476" s="163"/>
      <c r="D476" s="459"/>
      <c r="E476" s="460"/>
      <c r="F476" s="458"/>
      <c r="G476" s="507"/>
    </row>
    <row r="477" spans="1:7" ht="19.899999999999999" customHeight="1">
      <c r="A477" s="677" t="s">
        <v>575</v>
      </c>
      <c r="B477" s="678"/>
      <c r="C477" s="679" t="s">
        <v>0</v>
      </c>
      <c r="D477" s="691" t="s">
        <v>1864</v>
      </c>
      <c r="E477" s="691" t="s">
        <v>1863</v>
      </c>
      <c r="F477" s="683" t="s">
        <v>1006</v>
      </c>
      <c r="G477" s="685" t="s">
        <v>25</v>
      </c>
    </row>
    <row r="478" spans="1:7" ht="19.899999999999999" customHeight="1">
      <c r="A478" s="477" t="s">
        <v>576</v>
      </c>
      <c r="B478" s="477" t="s">
        <v>577</v>
      </c>
      <c r="C478" s="680"/>
      <c r="D478" s="692"/>
      <c r="E478" s="682"/>
      <c r="F478" s="684"/>
      <c r="G478" s="686"/>
    </row>
    <row r="479" spans="1:7" ht="19.899999999999999" customHeight="1">
      <c r="A479" s="513"/>
      <c r="B479" s="163"/>
      <c r="C479" s="455" t="s">
        <v>1007</v>
      </c>
      <c r="D479" s="460"/>
      <c r="E479" s="460"/>
      <c r="F479" s="163"/>
      <c r="G479" s="514"/>
    </row>
    <row r="480" spans="1:7" ht="19.899999999999999" customHeight="1">
      <c r="A480" s="515">
        <f t="shared" ref="A480:A488" si="149">IFERROR(VLOOKUP(C480,T_Insumos,4,FALSE),0)</f>
        <v>0</v>
      </c>
      <c r="B480" s="478">
        <f t="shared" ref="B480:B488" si="150">IFERROR(VLOOKUP(C480,T_Insumos,5,FALSE),0)</f>
        <v>0</v>
      </c>
      <c r="C480" s="469"/>
      <c r="D480" s="479">
        <f t="shared" ref="D480:D485" si="151">IFERROR(VLOOKUP(C480,T_Insumos,3,FALSE),0)</f>
        <v>0</v>
      </c>
      <c r="E480" s="472">
        <f>D480*$G$473</f>
        <v>0</v>
      </c>
      <c r="F480" s="475">
        <f>+$D$475</f>
        <v>0</v>
      </c>
      <c r="G480" s="472">
        <f>IFERROR(ROUND(E480/F480,2),0)</f>
        <v>0</v>
      </c>
    </row>
    <row r="481" spans="1:7" ht="19.899999999999999" customHeight="1">
      <c r="A481" s="515"/>
      <c r="B481" s="478"/>
      <c r="C481" s="469"/>
      <c r="D481" s="479">
        <f t="shared" si="151"/>
        <v>0</v>
      </c>
      <c r="E481" s="472">
        <f>D481*$G$473</f>
        <v>0</v>
      </c>
      <c r="F481" s="475">
        <f t="shared" ref="F481:F483" si="152">+$D$475</f>
        <v>0</v>
      </c>
      <c r="G481" s="472">
        <f t="shared" ref="G481:G488" si="153">IFERROR(ROUND(E481/F481,2),0)</f>
        <v>0</v>
      </c>
    </row>
    <row r="482" spans="1:7" ht="19.899999999999999" customHeight="1">
      <c r="A482" s="515">
        <f t="shared" si="149"/>
        <v>0</v>
      </c>
      <c r="B482" s="478">
        <f t="shared" si="150"/>
        <v>0</v>
      </c>
      <c r="C482" s="480"/>
      <c r="D482" s="479">
        <f t="shared" si="151"/>
        <v>0</v>
      </c>
      <c r="E482" s="472">
        <f t="shared" ref="E482:E486" si="154">D482*$G$473</f>
        <v>0</v>
      </c>
      <c r="F482" s="475">
        <f t="shared" si="152"/>
        <v>0</v>
      </c>
      <c r="G482" s="472">
        <f t="shared" si="153"/>
        <v>0</v>
      </c>
    </row>
    <row r="483" spans="1:7" ht="19.899999999999999" customHeight="1">
      <c r="A483" s="515">
        <f t="shared" si="149"/>
        <v>0</v>
      </c>
      <c r="B483" s="478">
        <f t="shared" si="150"/>
        <v>0</v>
      </c>
      <c r="C483" s="480"/>
      <c r="D483" s="479">
        <f t="shared" si="151"/>
        <v>0</v>
      </c>
      <c r="E483" s="472">
        <f t="shared" si="154"/>
        <v>0</v>
      </c>
      <c r="F483" s="475">
        <f t="shared" si="152"/>
        <v>0</v>
      </c>
      <c r="G483" s="472">
        <f t="shared" si="153"/>
        <v>0</v>
      </c>
    </row>
    <row r="484" spans="1:7" ht="19.899999999999999" customHeight="1">
      <c r="A484" s="515">
        <f t="shared" si="149"/>
        <v>0</v>
      </c>
      <c r="B484" s="478">
        <f t="shared" si="150"/>
        <v>0</v>
      </c>
      <c r="C484" s="480"/>
      <c r="D484" s="479">
        <f t="shared" si="151"/>
        <v>0</v>
      </c>
      <c r="E484" s="472">
        <f t="shared" si="154"/>
        <v>0</v>
      </c>
      <c r="F484" s="475">
        <f>IF(C484="",0,IFERROR(VLOOKUP(COUNTIF($A$1:A484,"ANALISIS DE PRECIOS"),T_Rendimiento_Equipo,5,FALSE),0))</f>
        <v>0</v>
      </c>
      <c r="G484" s="472">
        <f t="shared" si="153"/>
        <v>0</v>
      </c>
    </row>
    <row r="485" spans="1:7" ht="19.899999999999999" customHeight="1">
      <c r="A485" s="515">
        <f t="shared" si="149"/>
        <v>0</v>
      </c>
      <c r="B485" s="478">
        <f t="shared" si="150"/>
        <v>0</v>
      </c>
      <c r="C485" s="480"/>
      <c r="D485" s="479">
        <f t="shared" si="151"/>
        <v>0</v>
      </c>
      <c r="E485" s="472">
        <f t="shared" si="154"/>
        <v>0</v>
      </c>
      <c r="F485" s="475">
        <f>IF(C485="",0,IFERROR(VLOOKUP(COUNTIF($A$1:A485,"ANALISIS DE PRECIOS"),T_Rendimiento_Equipo,5,FALSE),0))</f>
        <v>0</v>
      </c>
      <c r="G485" s="472">
        <f t="shared" si="153"/>
        <v>0</v>
      </c>
    </row>
    <row r="486" spans="1:7" ht="19.899999999999999" customHeight="1">
      <c r="A486" s="515">
        <f t="shared" si="149"/>
        <v>0</v>
      </c>
      <c r="B486" s="478">
        <f t="shared" si="150"/>
        <v>0</v>
      </c>
      <c r="C486" s="480"/>
      <c r="D486" s="479">
        <f t="shared" ref="D486:D488" si="155">IFERROR(VLOOKUP(C486,T_Insumos,3,FALSE),0)</f>
        <v>0</v>
      </c>
      <c r="E486" s="472">
        <f t="shared" si="154"/>
        <v>0</v>
      </c>
      <c r="F486" s="475">
        <f>IF(C486="",0,IFERROR(VLOOKUP(COUNTIF($A$1:A486,"ANALISIS DE PRECIOS"),T_Rendimiento_Equipo,5,FALSE),0))</f>
        <v>0</v>
      </c>
      <c r="G486" s="472">
        <f t="shared" si="153"/>
        <v>0</v>
      </c>
    </row>
    <row r="487" spans="1:7" ht="19.899999999999999" customHeight="1">
      <c r="A487" s="515">
        <f t="shared" si="149"/>
        <v>0</v>
      </c>
      <c r="B487" s="478">
        <f t="shared" si="150"/>
        <v>0</v>
      </c>
      <c r="C487" s="480"/>
      <c r="D487" s="479">
        <f t="shared" si="155"/>
        <v>0</v>
      </c>
      <c r="E487" s="472"/>
      <c r="F487" s="475">
        <f>IF(C487="",0,IFERROR(VLOOKUP(COUNTIF($A$1:A487,"ANALISIS DE PRECIOS"),T_Rendimiento_Equipo,5,FALSE),0))</f>
        <v>0</v>
      </c>
      <c r="G487" s="472">
        <f t="shared" si="153"/>
        <v>0</v>
      </c>
    </row>
    <row r="488" spans="1:7" ht="19.899999999999999" customHeight="1">
      <c r="A488" s="515">
        <f t="shared" si="149"/>
        <v>0</v>
      </c>
      <c r="B488" s="478">
        <f t="shared" si="150"/>
        <v>0</v>
      </c>
      <c r="C488" s="469"/>
      <c r="D488" s="479">
        <f t="shared" si="155"/>
        <v>0</v>
      </c>
      <c r="E488" s="472"/>
      <c r="F488" s="475">
        <f>IF(C488="",0,IFERROR(VLOOKUP(COUNTIF($A$1:A488,"ANALISIS DE PRECIOS"),T_Rendimiento_Equipo,5,FALSE),0))</f>
        <v>0</v>
      </c>
      <c r="G488" s="472">
        <f t="shared" si="153"/>
        <v>0</v>
      </c>
    </row>
    <row r="489" spans="1:7" ht="19.899999999999999" customHeight="1">
      <c r="A489" s="516"/>
      <c r="B489" s="459"/>
      <c r="C489" s="163"/>
      <c r="D489" s="459"/>
      <c r="E489" s="460"/>
      <c r="F489" s="481" t="s">
        <v>26</v>
      </c>
      <c r="G489" s="517">
        <f>SUBTOTAL(9,G480:G488)</f>
        <v>0</v>
      </c>
    </row>
    <row r="490" spans="1:7" ht="19.899999999999999" customHeight="1">
      <c r="A490" s="513"/>
      <c r="B490" s="163"/>
      <c r="C490" s="455" t="s">
        <v>712</v>
      </c>
      <c r="D490" s="459"/>
      <c r="E490" s="460"/>
      <c r="F490" s="461"/>
      <c r="G490" s="514"/>
    </row>
    <row r="491" spans="1:7" ht="19.899999999999999" customHeight="1">
      <c r="A491" s="677" t="s">
        <v>575</v>
      </c>
      <c r="B491" s="678"/>
      <c r="C491" s="679" t="s">
        <v>0</v>
      </c>
      <c r="D491" s="681" t="s">
        <v>23</v>
      </c>
      <c r="E491" s="681" t="s">
        <v>1830</v>
      </c>
      <c r="F491" s="683" t="s">
        <v>1006</v>
      </c>
      <c r="G491" s="685" t="s">
        <v>25</v>
      </c>
    </row>
    <row r="492" spans="1:7" ht="19.899999999999999" customHeight="1">
      <c r="A492" s="477" t="s">
        <v>576</v>
      </c>
      <c r="B492" s="477" t="s">
        <v>577</v>
      </c>
      <c r="C492" s="680"/>
      <c r="D492" s="682"/>
      <c r="E492" s="682"/>
      <c r="F492" s="684"/>
      <c r="G492" s="686"/>
    </row>
    <row r="493" spans="1:7" ht="19.899999999999999" customHeight="1">
      <c r="A493" s="515">
        <f t="shared" ref="A493:A498" si="156">IFERROR(VLOOKUP(C493,T_Insumos,4,FALSE),0)</f>
        <v>0</v>
      </c>
      <c r="B493" s="478">
        <f t="shared" ref="B493:B498" si="157">IFERROR(VLOOKUP(C493,T_Insumos,5,FALSE),0)</f>
        <v>0</v>
      </c>
      <c r="C493" s="482"/>
      <c r="D493" s="475"/>
      <c r="E493" s="472">
        <f t="shared" ref="E493:E496" si="158">IFERROR(VLOOKUP(C493,T_Insumos,3,FALSE),0)</f>
        <v>0</v>
      </c>
      <c r="F493" s="475">
        <f>+$D$475</f>
        <v>0</v>
      </c>
      <c r="G493" s="472">
        <f>IFERROR(ROUND(D493*E493/F493,2),0)</f>
        <v>0</v>
      </c>
    </row>
    <row r="494" spans="1:7" ht="19.899999999999999" customHeight="1">
      <c r="A494" s="515">
        <f t="shared" si="156"/>
        <v>0</v>
      </c>
      <c r="B494" s="478">
        <f t="shared" si="157"/>
        <v>0</v>
      </c>
      <c r="C494" s="469"/>
      <c r="D494" s="475"/>
      <c r="E494" s="472">
        <f t="shared" si="158"/>
        <v>0</v>
      </c>
      <c r="F494" s="475">
        <f t="shared" ref="F494:F498" si="159">+$D$475</f>
        <v>0</v>
      </c>
      <c r="G494" s="472">
        <f t="shared" ref="G494:G499" si="160">IFERROR(ROUND(D494*E494/F494,2),0)</f>
        <v>0</v>
      </c>
    </row>
    <row r="495" spans="1:7" ht="19.899999999999999" customHeight="1">
      <c r="A495" s="515">
        <f t="shared" si="156"/>
        <v>0</v>
      </c>
      <c r="B495" s="478">
        <f t="shared" si="157"/>
        <v>0</v>
      </c>
      <c r="C495" s="469"/>
      <c r="D495" s="475"/>
      <c r="E495" s="472">
        <f t="shared" si="158"/>
        <v>0</v>
      </c>
      <c r="F495" s="475">
        <f t="shared" si="159"/>
        <v>0</v>
      </c>
      <c r="G495" s="472">
        <f t="shared" si="160"/>
        <v>0</v>
      </c>
    </row>
    <row r="496" spans="1:7" ht="19.899999999999999" customHeight="1">
      <c r="A496" s="515">
        <f t="shared" si="156"/>
        <v>0</v>
      </c>
      <c r="B496" s="478">
        <f t="shared" si="157"/>
        <v>0</v>
      </c>
      <c r="C496" s="469"/>
      <c r="D496" s="475"/>
      <c r="E496" s="472">
        <f t="shared" si="158"/>
        <v>0</v>
      </c>
      <c r="F496" s="475">
        <f t="shared" si="159"/>
        <v>0</v>
      </c>
      <c r="G496" s="472">
        <f t="shared" si="160"/>
        <v>0</v>
      </c>
    </row>
    <row r="497" spans="1:7" ht="19.899999999999999" customHeight="1">
      <c r="A497" s="515">
        <f t="shared" si="156"/>
        <v>0</v>
      </c>
      <c r="B497" s="478">
        <f t="shared" si="157"/>
        <v>0</v>
      </c>
      <c r="C497" s="469"/>
      <c r="D497" s="475"/>
      <c r="E497" s="472">
        <f t="shared" ref="E497:E499" si="161">IFERROR(VLOOKUP(C497,T_Insumos,3,FALSE),0)</f>
        <v>0</v>
      </c>
      <c r="F497" s="475">
        <f>IF(C497="",0,IFERROR(VLOOKUP(COUNTIF($A$1:A497,"ANALISIS DE PRECIOS"),T_Rendimiento_Equipo,5,FALSE),0))</f>
        <v>0</v>
      </c>
      <c r="G497" s="472">
        <f t="shared" si="160"/>
        <v>0</v>
      </c>
    </row>
    <row r="498" spans="1:7" ht="19.899999999999999" customHeight="1">
      <c r="A498" s="515">
        <f t="shared" si="156"/>
        <v>0</v>
      </c>
      <c r="B498" s="478">
        <f t="shared" si="157"/>
        <v>0</v>
      </c>
      <c r="C498" s="469"/>
      <c r="D498" s="483"/>
      <c r="E498" s="472">
        <f>SUMPRODUCT(D493:D496,E493:E496)</f>
        <v>0</v>
      </c>
      <c r="F498" s="475">
        <f t="shared" si="159"/>
        <v>0</v>
      </c>
      <c r="G498" s="472">
        <f t="shared" si="160"/>
        <v>0</v>
      </c>
    </row>
    <row r="499" spans="1:7" ht="19.899999999999999" customHeight="1">
      <c r="A499" s="515">
        <f t="shared" ref="A499" si="162">IFERROR(VLOOKUP(C499,T_Insumos,4,FALSE),0)</f>
        <v>0</v>
      </c>
      <c r="B499" s="478">
        <f t="shared" ref="B499" si="163">IFERROR(VLOOKUP(C499,T_Insumos,5,FALSE),0)</f>
        <v>0</v>
      </c>
      <c r="C499" s="478"/>
      <c r="D499" s="484"/>
      <c r="E499" s="472">
        <f t="shared" si="161"/>
        <v>0</v>
      </c>
      <c r="F499" s="475">
        <f>IF(C499="",0,IFERROR(VLOOKUP(COUNTIF($A$1:A499,"ANALISIS DE PRECIOS"),T_Rendimiento_Equipo,5,FALSE),0))</f>
        <v>0</v>
      </c>
      <c r="G499" s="472">
        <f t="shared" si="160"/>
        <v>0</v>
      </c>
    </row>
    <row r="500" spans="1:7" ht="19.899999999999999" customHeight="1">
      <c r="A500" s="516"/>
      <c r="B500" s="459"/>
      <c r="C500" s="163"/>
      <c r="D500" s="459"/>
      <c r="E500" s="460"/>
      <c r="F500" s="481" t="s">
        <v>27</v>
      </c>
      <c r="G500" s="518">
        <f>SUBTOTAL(9,G493:G499)</f>
        <v>0</v>
      </c>
    </row>
    <row r="501" spans="1:7" ht="19.899999999999999" customHeight="1">
      <c r="A501" s="513"/>
      <c r="B501" s="163"/>
      <c r="C501" s="455" t="s">
        <v>1013</v>
      </c>
      <c r="D501" s="459"/>
      <c r="E501" s="460"/>
      <c r="F501" s="461"/>
      <c r="G501" s="514"/>
    </row>
    <row r="502" spans="1:7" ht="19.899999999999999" customHeight="1">
      <c r="A502" s="677" t="s">
        <v>575</v>
      </c>
      <c r="B502" s="678"/>
      <c r="C502" s="679" t="s">
        <v>0</v>
      </c>
      <c r="D502" s="679" t="s">
        <v>1865</v>
      </c>
      <c r="E502" s="681" t="s">
        <v>23</v>
      </c>
      <c r="F502" s="683" t="s">
        <v>24</v>
      </c>
      <c r="G502" s="685" t="s">
        <v>25</v>
      </c>
    </row>
    <row r="503" spans="1:7" ht="19.899999999999999" customHeight="1" thickBot="1">
      <c r="A503" s="477" t="s">
        <v>576</v>
      </c>
      <c r="B503" s="477" t="s">
        <v>577</v>
      </c>
      <c r="C503" s="680"/>
      <c r="D503" s="680"/>
      <c r="E503" s="682"/>
      <c r="F503" s="684"/>
      <c r="G503" s="686"/>
    </row>
    <row r="504" spans="1:7" ht="19.899999999999999" customHeight="1" thickTop="1">
      <c r="A504" s="515">
        <f t="shared" ref="A504:A514" si="164">IFERROR(VLOOKUP(C504,T_Insumos,4,FALSE),0)</f>
        <v>0</v>
      </c>
      <c r="B504" s="478">
        <f t="shared" ref="B504:B514" si="165">IFERROR(VLOOKUP(C504,T_Insumos,5,FALSE),0)</f>
        <v>0</v>
      </c>
      <c r="C504" s="606"/>
      <c r="D504" s="618"/>
      <c r="E504" s="470"/>
      <c r="F504" s="472">
        <f t="shared" ref="F504:F508" si="166">IFERROR(VLOOKUP(C504,T_Insumos,3,FALSE),0)</f>
        <v>0</v>
      </c>
      <c r="G504" s="472">
        <f>ROUND(E504*F504,2)</f>
        <v>0</v>
      </c>
    </row>
    <row r="505" spans="1:7" ht="19.899999999999999" customHeight="1" thickBot="1">
      <c r="A505" s="515">
        <f t="shared" si="164"/>
        <v>0</v>
      </c>
      <c r="B505" s="478">
        <f t="shared" si="165"/>
        <v>0</v>
      </c>
      <c r="C505" s="607"/>
      <c r="D505" s="617"/>
      <c r="E505" s="470"/>
      <c r="F505" s="472">
        <f t="shared" si="166"/>
        <v>0</v>
      </c>
      <c r="G505" s="472">
        <f t="shared" ref="G505:G514" si="167">ROUND(E505*F505,2)</f>
        <v>0</v>
      </c>
    </row>
    <row r="506" spans="1:7" ht="19.899999999999999" customHeight="1" thickTop="1">
      <c r="A506" s="515">
        <f t="shared" si="164"/>
        <v>0</v>
      </c>
      <c r="B506" s="478">
        <f t="shared" si="165"/>
        <v>0</v>
      </c>
      <c r="C506" s="607"/>
      <c r="D506" s="606"/>
      <c r="E506" s="470"/>
      <c r="F506" s="472">
        <f t="shared" si="166"/>
        <v>0</v>
      </c>
      <c r="G506" s="472">
        <f t="shared" si="167"/>
        <v>0</v>
      </c>
    </row>
    <row r="507" spans="1:7" ht="19.899999999999999" customHeight="1">
      <c r="A507" s="515">
        <f t="shared" si="164"/>
        <v>0</v>
      </c>
      <c r="B507" s="478">
        <f t="shared" si="165"/>
        <v>0</v>
      </c>
      <c r="C507" s="607"/>
      <c r="D507" s="608"/>
      <c r="E507" s="470"/>
      <c r="F507" s="472">
        <f t="shared" si="166"/>
        <v>0</v>
      </c>
      <c r="G507" s="472">
        <f t="shared" si="167"/>
        <v>0</v>
      </c>
    </row>
    <row r="508" spans="1:7" ht="19.899999999999999" customHeight="1">
      <c r="A508" s="515">
        <f t="shared" si="164"/>
        <v>0</v>
      </c>
      <c r="B508" s="478">
        <f t="shared" si="165"/>
        <v>0</v>
      </c>
      <c r="C508" s="478"/>
      <c r="D508" s="526">
        <f t="shared" ref="D508:D514" si="168">IFERROR(VLOOKUP(C508,T_Insumos,2,FALSE),0)</f>
        <v>0</v>
      </c>
      <c r="E508" s="470"/>
      <c r="F508" s="472">
        <f t="shared" si="166"/>
        <v>0</v>
      </c>
      <c r="G508" s="472">
        <f t="shared" si="167"/>
        <v>0</v>
      </c>
    </row>
    <row r="509" spans="1:7" ht="19.899999999999999" customHeight="1">
      <c r="A509" s="515">
        <f t="shared" si="164"/>
        <v>0</v>
      </c>
      <c r="B509" s="478">
        <f t="shared" si="165"/>
        <v>0</v>
      </c>
      <c r="C509" s="478"/>
      <c r="D509" s="526">
        <f t="shared" si="168"/>
        <v>0</v>
      </c>
      <c r="E509" s="470"/>
      <c r="F509" s="472">
        <f t="shared" ref="F509:F514" si="169">IFERROR(VLOOKUP(C509,T_Insumos,3,FALSE),0)</f>
        <v>0</v>
      </c>
      <c r="G509" s="472">
        <f t="shared" si="167"/>
        <v>0</v>
      </c>
    </row>
    <row r="510" spans="1:7" ht="19.899999999999999" customHeight="1">
      <c r="A510" s="515">
        <f t="shared" si="164"/>
        <v>0</v>
      </c>
      <c r="B510" s="478">
        <f t="shared" si="165"/>
        <v>0</v>
      </c>
      <c r="C510" s="478"/>
      <c r="D510" s="526">
        <f t="shared" si="168"/>
        <v>0</v>
      </c>
      <c r="E510" s="470"/>
      <c r="F510" s="472">
        <f t="shared" si="169"/>
        <v>0</v>
      </c>
      <c r="G510" s="472">
        <f t="shared" si="167"/>
        <v>0</v>
      </c>
    </row>
    <row r="511" spans="1:7" ht="19.899999999999999" customHeight="1">
      <c r="A511" s="515">
        <f t="shared" si="164"/>
        <v>0</v>
      </c>
      <c r="B511" s="478">
        <f t="shared" si="165"/>
        <v>0</v>
      </c>
      <c r="C511" s="478"/>
      <c r="D511" s="526">
        <f t="shared" si="168"/>
        <v>0</v>
      </c>
      <c r="E511" s="470"/>
      <c r="F511" s="472">
        <f t="shared" si="169"/>
        <v>0</v>
      </c>
      <c r="G511" s="472">
        <f t="shared" si="167"/>
        <v>0</v>
      </c>
    </row>
    <row r="512" spans="1:7" ht="19.899999999999999" customHeight="1">
      <c r="A512" s="515">
        <f t="shared" si="164"/>
        <v>0</v>
      </c>
      <c r="B512" s="478">
        <f t="shared" si="165"/>
        <v>0</v>
      </c>
      <c r="C512" s="478"/>
      <c r="D512" s="526">
        <f t="shared" si="168"/>
        <v>0</v>
      </c>
      <c r="E512" s="470"/>
      <c r="F512" s="472">
        <f t="shared" si="169"/>
        <v>0</v>
      </c>
      <c r="G512" s="472">
        <f t="shared" si="167"/>
        <v>0</v>
      </c>
    </row>
    <row r="513" spans="1:7" ht="19.899999999999999" customHeight="1">
      <c r="A513" s="515">
        <f t="shared" si="164"/>
        <v>0</v>
      </c>
      <c r="B513" s="478">
        <f t="shared" si="165"/>
        <v>0</v>
      </c>
      <c r="C513" s="478"/>
      <c r="D513" s="526">
        <f t="shared" si="168"/>
        <v>0</v>
      </c>
      <c r="E513" s="470"/>
      <c r="F513" s="472">
        <f t="shared" si="169"/>
        <v>0</v>
      </c>
      <c r="G513" s="472">
        <f t="shared" si="167"/>
        <v>0</v>
      </c>
    </row>
    <row r="514" spans="1:7" ht="19.899999999999999" customHeight="1">
      <c r="A514" s="515">
        <f t="shared" si="164"/>
        <v>0</v>
      </c>
      <c r="B514" s="478">
        <f t="shared" si="165"/>
        <v>0</v>
      </c>
      <c r="C514" s="478"/>
      <c r="D514" s="526">
        <f t="shared" si="168"/>
        <v>0</v>
      </c>
      <c r="E514" s="470"/>
      <c r="F514" s="472">
        <f t="shared" si="169"/>
        <v>0</v>
      </c>
      <c r="G514" s="472">
        <f t="shared" si="167"/>
        <v>0</v>
      </c>
    </row>
    <row r="515" spans="1:7" ht="19.899999999999999" customHeight="1">
      <c r="A515" s="513"/>
      <c r="B515" s="163"/>
      <c r="C515" s="163"/>
      <c r="D515" s="459"/>
      <c r="E515" s="460"/>
      <c r="F515" s="481" t="s">
        <v>28</v>
      </c>
      <c r="G515" s="518">
        <f>SUBTOTAL(9,G504:G514)</f>
        <v>0</v>
      </c>
    </row>
    <row r="516" spans="1:7" ht="19.899999999999999" customHeight="1">
      <c r="A516" s="513"/>
      <c r="B516" s="163"/>
      <c r="C516" s="455" t="s">
        <v>1014</v>
      </c>
      <c r="D516" s="459"/>
      <c r="E516" s="460"/>
      <c r="F516" s="461"/>
      <c r="G516" s="514"/>
    </row>
    <row r="517" spans="1:7" ht="19.899999999999999" customHeight="1">
      <c r="A517" s="677" t="s">
        <v>575</v>
      </c>
      <c r="B517" s="678"/>
      <c r="C517" s="679" t="s">
        <v>0</v>
      </c>
      <c r="D517" s="679" t="s">
        <v>1865</v>
      </c>
      <c r="E517" s="681" t="s">
        <v>23</v>
      </c>
      <c r="F517" s="683" t="s">
        <v>24</v>
      </c>
      <c r="G517" s="685" t="s">
        <v>25</v>
      </c>
    </row>
    <row r="518" spans="1:7" ht="19.899999999999999" customHeight="1">
      <c r="A518" s="477" t="s">
        <v>576</v>
      </c>
      <c r="B518" s="477" t="s">
        <v>577</v>
      </c>
      <c r="C518" s="680"/>
      <c r="D518" s="680"/>
      <c r="E518" s="682"/>
      <c r="F518" s="684"/>
      <c r="G518" s="686"/>
    </row>
    <row r="519" spans="1:7" ht="19.899999999999999" customHeight="1">
      <c r="A519" s="515">
        <f>IFERROR(VLOOKUP(C519,T_Insumos,4,FALSE),0)</f>
        <v>0</v>
      </c>
      <c r="B519" s="478">
        <f>IFERROR(VLOOKUP(C519,T_Insumos,5,FALSE),0)</f>
        <v>0</v>
      </c>
      <c r="C519" s="469"/>
      <c r="D519" s="526">
        <f>IF(C519=0,0,"$/tnkm")</f>
        <v>0</v>
      </c>
      <c r="E519" s="470"/>
      <c r="F519" s="472">
        <f>IFERROR(VLOOKUP(C519,T_Insumos,3,FALSE),0)</f>
        <v>0</v>
      </c>
      <c r="G519" s="472">
        <f>ROUND(E519*F519,2)</f>
        <v>0</v>
      </c>
    </row>
    <row r="520" spans="1:7" ht="19.899999999999999" customHeight="1">
      <c r="A520" s="515">
        <f>IFERROR(VLOOKUP(C520,T_Insumos,4,FALSE),0)</f>
        <v>0</v>
      </c>
      <c r="B520" s="478">
        <f>IFERROR(VLOOKUP(C520,T_Insumos,5,FALSE),0)</f>
        <v>0</v>
      </c>
      <c r="C520" s="469"/>
      <c r="D520" s="526">
        <f>IF(C520=0,0,"$/tnkm")</f>
        <v>0</v>
      </c>
      <c r="E520" s="486"/>
      <c r="F520" s="472">
        <f>IFERROR(VLOOKUP(C520,T_Insumos,3,FALSE),0)</f>
        <v>0</v>
      </c>
      <c r="G520" s="472">
        <f t="shared" ref="G520" si="170">ROUND(E520*F520,2)</f>
        <v>0</v>
      </c>
    </row>
    <row r="521" spans="1:7" ht="19.899999999999999" customHeight="1">
      <c r="A521" s="513"/>
      <c r="B521" s="163"/>
      <c r="C521" s="163"/>
      <c r="D521" s="459"/>
      <c r="E521" s="460"/>
      <c r="F521" s="481" t="s">
        <v>1015</v>
      </c>
      <c r="G521" s="518">
        <f>SUBTOTAL(9,G519:G520)</f>
        <v>0</v>
      </c>
    </row>
    <row r="522" spans="1:7" ht="19.899999999999999" customHeight="1">
      <c r="A522" s="516"/>
      <c r="B522" s="459"/>
      <c r="C522" s="163"/>
      <c r="D522" s="459"/>
      <c r="E522" s="460"/>
      <c r="F522" s="461"/>
      <c r="G522" s="514"/>
    </row>
    <row r="523" spans="1:7" ht="19.899999999999999" customHeight="1">
      <c r="A523" s="574" t="str">
        <f>B457</f>
        <v>3.2.1</v>
      </c>
      <c r="B523" s="571" t="str">
        <f ca="1">C457</f>
        <v>Reemplazo de compuertas desripiador</v>
      </c>
      <c r="C523" s="459"/>
      <c r="D523" s="459" t="s">
        <v>1831</v>
      </c>
      <c r="E523" s="572"/>
      <c r="F523" s="573" t="str">
        <f ca="1">"$/"&amp;G457</f>
        <v>$/gl.</v>
      </c>
      <c r="G523" s="523">
        <f>SUBTOTAL(9,G480:G522)</f>
        <v>0</v>
      </c>
    </row>
    <row r="524" spans="1:7" ht="19.899999999999999" customHeight="1">
      <c r="A524" s="519"/>
      <c r="B524" s="520"/>
      <c r="C524" s="521"/>
      <c r="D524" s="521" t="s">
        <v>2041</v>
      </c>
      <c r="E524" s="522"/>
      <c r="F524" s="575" t="str">
        <f ca="1">"$/"&amp;G457</f>
        <v>$/gl.</v>
      </c>
      <c r="G524" s="523">
        <f>ROUND(G523*Coeficiente_Paso,2)</f>
        <v>0</v>
      </c>
    </row>
    <row r="525" spans="1:7" ht="19.899999999999999" customHeight="1">
      <c r="A525" s="163"/>
      <c r="B525" s="163"/>
      <c r="C525" s="163"/>
      <c r="D525" s="163"/>
      <c r="E525" s="163"/>
      <c r="F525" s="163"/>
      <c r="G525" s="163"/>
    </row>
    <row r="526" spans="1:7" ht="19.899999999999999" customHeight="1">
      <c r="A526" s="687" t="s">
        <v>30</v>
      </c>
      <c r="B526" s="688"/>
      <c r="C526" s="688"/>
      <c r="D526" s="688"/>
      <c r="E526" s="688"/>
      <c r="F526" s="688"/>
      <c r="G526" s="689"/>
    </row>
    <row r="527" spans="1:7" ht="19.899999999999999" customHeight="1">
      <c r="A527" s="502" t="s">
        <v>710</v>
      </c>
      <c r="B527" s="453" t="str">
        <f>Comitente</f>
        <v>DEPARTAMENTO DE HIDRAULICA</v>
      </c>
      <c r="C527" s="454"/>
      <c r="D527" s="455"/>
      <c r="E527" s="455"/>
      <c r="F527" s="456"/>
      <c r="G527" s="503"/>
    </row>
    <row r="528" spans="1:7" ht="19.899999999999999" customHeight="1">
      <c r="A528" s="502" t="s">
        <v>711</v>
      </c>
      <c r="B528" s="453">
        <f>Contratista</f>
        <v>0</v>
      </c>
      <c r="C528" s="457"/>
      <c r="D528" s="457"/>
      <c r="E528" s="457"/>
      <c r="F528" s="453"/>
      <c r="G528" s="504"/>
    </row>
    <row r="529" spans="1:7" ht="19.899999999999999" customHeight="1">
      <c r="A529" s="502" t="s">
        <v>20</v>
      </c>
      <c r="B529" s="453" t="str">
        <f>Obra</f>
        <v>MEJORA DE LA RED DE RIEGO DEL VALLE DE JÁCHAL</v>
      </c>
      <c r="C529" s="457"/>
      <c r="D529" s="457"/>
      <c r="E529" s="457"/>
      <c r="F529" s="453" t="s">
        <v>31</v>
      </c>
      <c r="G529" s="504" t="str">
        <f>Fecha_Base</f>
        <v>XX/07/2020</v>
      </c>
    </row>
    <row r="530" spans="1:7" ht="19.899999999999999" customHeight="1">
      <c r="A530" s="505" t="s">
        <v>709</v>
      </c>
      <c r="B530" s="458" t="str">
        <f>Ubicación</f>
        <v>JACHAL</v>
      </c>
      <c r="C530" s="458"/>
      <c r="D530" s="459"/>
      <c r="E530" s="460"/>
      <c r="F530" s="461"/>
      <c r="G530" s="506"/>
    </row>
    <row r="531" spans="1:7" ht="19.899999999999999" customHeight="1">
      <c r="A531" s="505" t="s">
        <v>32</v>
      </c>
      <c r="B531" s="462">
        <f>IFERROR(VALUE(LEFT(B532,FIND(".",B532)-1)),"")</f>
        <v>3</v>
      </c>
      <c r="C531" s="163" t="str">
        <f ca="1">IFERROR(VLOOKUP(B531,T_Computo_Presupuesto,2,FALSE),0)</f>
        <v>AZUD PACHIMOCO</v>
      </c>
      <c r="D531" s="163"/>
      <c r="E531" s="460"/>
      <c r="F531" s="461"/>
      <c r="G531" s="506"/>
    </row>
    <row r="532" spans="1:7" ht="19.899999999999999" customHeight="1">
      <c r="A532" s="505" t="s">
        <v>21</v>
      </c>
      <c r="B532" s="463" t="str">
        <f>IFERROR(VLOOKUP(COUNTIF($A$1:A532,"ANALISIS DE PRECIOS"),T_NumeroItem,2,FALSE),"")</f>
        <v>3.3.1</v>
      </c>
      <c r="C532" s="690" t="str">
        <f ca="1">IFERROR(VLOOKUP(B532,T_Computo_Presupuesto,2,FALSE),0)</f>
        <v>Reemplazo de compuertas obra de toma</v>
      </c>
      <c r="D532" s="690"/>
      <c r="E532" s="690"/>
      <c r="F532" s="458" t="s">
        <v>22</v>
      </c>
      <c r="G532" s="507" t="str">
        <f ca="1">IFERROR(VLOOKUP(B532,T_Computo_Presupuesto,4,FALSE),0)</f>
        <v>gl.</v>
      </c>
    </row>
    <row r="533" spans="1:7" ht="19.899999999999999" customHeight="1">
      <c r="A533" s="505"/>
      <c r="B533" s="458"/>
      <c r="C533" s="163"/>
      <c r="D533" s="459"/>
      <c r="E533" s="460"/>
      <c r="F533" s="163"/>
      <c r="G533" s="508"/>
    </row>
    <row r="534" spans="1:7" ht="19.899999999999999" customHeight="1">
      <c r="A534" s="509"/>
      <c r="B534" s="464"/>
      <c r="C534" s="465" t="s">
        <v>998</v>
      </c>
      <c r="D534" s="464"/>
      <c r="E534" s="464"/>
      <c r="F534" s="464"/>
      <c r="G534" s="510"/>
    </row>
    <row r="535" spans="1:7" ht="19.899999999999999" customHeight="1">
      <c r="A535" s="505"/>
      <c r="B535" s="466"/>
      <c r="C535" s="163"/>
      <c r="D535" s="459"/>
      <c r="E535" s="460"/>
      <c r="F535" s="458"/>
      <c r="G535" s="507"/>
    </row>
    <row r="536" spans="1:7" ht="19.899999999999999" customHeight="1">
      <c r="A536" s="505"/>
      <c r="B536" s="466"/>
      <c r="C536" s="467" t="s">
        <v>999</v>
      </c>
      <c r="D536" s="468" t="s">
        <v>23</v>
      </c>
      <c r="E536" s="468" t="s">
        <v>1000</v>
      </c>
      <c r="F536" s="468" t="s">
        <v>1001</v>
      </c>
      <c r="G536" s="467" t="s">
        <v>1002</v>
      </c>
    </row>
    <row r="537" spans="1:7" ht="19.899999999999999" customHeight="1">
      <c r="A537" s="505"/>
      <c r="B537" s="466"/>
      <c r="C537" s="469"/>
      <c r="D537" s="470"/>
      <c r="E537" s="471">
        <f t="shared" ref="E537:E541" si="171">IFERROR(VLOOKUP(C537,T_Equipos,4,FALSE),0)</f>
        <v>0</v>
      </c>
      <c r="F537" s="472">
        <f t="shared" ref="F537:F543" si="172">IFERROR(VLOOKUP(C537,T_Equipos,5,FALSE),0)</f>
        <v>0</v>
      </c>
      <c r="G537" s="472">
        <f>ROUND(D537*F537,2)</f>
        <v>0</v>
      </c>
    </row>
    <row r="538" spans="1:7" ht="19.899999999999999" customHeight="1">
      <c r="A538" s="505"/>
      <c r="B538" s="466"/>
      <c r="C538" s="469"/>
      <c r="D538" s="470"/>
      <c r="E538" s="471">
        <f t="shared" si="171"/>
        <v>0</v>
      </c>
      <c r="F538" s="472">
        <f t="shared" si="172"/>
        <v>0</v>
      </c>
      <c r="G538" s="472">
        <f>ROUND(D538*F538,2)</f>
        <v>0</v>
      </c>
    </row>
    <row r="539" spans="1:7" ht="19.899999999999999" customHeight="1">
      <c r="A539" s="505"/>
      <c r="B539" s="466"/>
      <c r="C539" s="469"/>
      <c r="D539" s="470"/>
      <c r="E539" s="471">
        <f t="shared" si="171"/>
        <v>0</v>
      </c>
      <c r="F539" s="472">
        <f t="shared" si="172"/>
        <v>0</v>
      </c>
      <c r="G539" s="472">
        <f>ROUND(D539*F539,2)</f>
        <v>0</v>
      </c>
    </row>
    <row r="540" spans="1:7" ht="19.899999999999999" customHeight="1">
      <c r="A540" s="505"/>
      <c r="B540" s="466"/>
      <c r="C540" s="469"/>
      <c r="D540" s="470"/>
      <c r="E540" s="471">
        <f t="shared" si="171"/>
        <v>0</v>
      </c>
      <c r="F540" s="472">
        <f t="shared" si="172"/>
        <v>0</v>
      </c>
      <c r="G540" s="472">
        <f>ROUND(D540*F540,2)</f>
        <v>0</v>
      </c>
    </row>
    <row r="541" spans="1:7" ht="19.899999999999999" customHeight="1">
      <c r="A541" s="505"/>
      <c r="B541" s="466"/>
      <c r="C541" s="469"/>
      <c r="D541" s="470"/>
      <c r="E541" s="471">
        <f t="shared" si="171"/>
        <v>0</v>
      </c>
      <c r="F541" s="472">
        <f t="shared" si="172"/>
        <v>0</v>
      </c>
      <c r="G541" s="472">
        <f t="shared" ref="G541:G546" si="173">ROUND(D541*F541,2)</f>
        <v>0</v>
      </c>
    </row>
    <row r="542" spans="1:7" ht="19.899999999999999" customHeight="1">
      <c r="A542" s="505"/>
      <c r="B542" s="466"/>
      <c r="C542" s="469"/>
      <c r="D542" s="470"/>
      <c r="E542" s="471">
        <f t="shared" ref="E542:E546" si="174">IFERROR(VLOOKUP(C542,T_Equipos,4,FALSE),0)</f>
        <v>0</v>
      </c>
      <c r="F542" s="472">
        <f t="shared" si="172"/>
        <v>0</v>
      </c>
      <c r="G542" s="472">
        <f t="shared" si="173"/>
        <v>0</v>
      </c>
    </row>
    <row r="543" spans="1:7" ht="19.899999999999999" customHeight="1">
      <c r="A543" s="505"/>
      <c r="B543" s="466"/>
      <c r="C543" s="469"/>
      <c r="D543" s="470"/>
      <c r="E543" s="471">
        <f t="shared" si="174"/>
        <v>0</v>
      </c>
      <c r="F543" s="472">
        <f t="shared" si="172"/>
        <v>0</v>
      </c>
      <c r="G543" s="472">
        <f t="shared" si="173"/>
        <v>0</v>
      </c>
    </row>
    <row r="544" spans="1:7" ht="19.899999999999999" customHeight="1">
      <c r="A544" s="505"/>
      <c r="B544" s="466"/>
      <c r="C544" s="469"/>
      <c r="D544" s="470"/>
      <c r="E544" s="471">
        <f t="shared" si="174"/>
        <v>0</v>
      </c>
      <c r="F544" s="472">
        <f t="shared" ref="F544:F546" si="175">IFERROR(VLOOKUP(C544,T_Equipos,5,FALSE),0)</f>
        <v>0</v>
      </c>
      <c r="G544" s="472">
        <f t="shared" si="173"/>
        <v>0</v>
      </c>
    </row>
    <row r="545" spans="1:7" ht="19.899999999999999" customHeight="1">
      <c r="A545" s="505"/>
      <c r="B545" s="466"/>
      <c r="C545" s="469"/>
      <c r="D545" s="470"/>
      <c r="E545" s="471">
        <f t="shared" si="174"/>
        <v>0</v>
      </c>
      <c r="F545" s="472">
        <f t="shared" si="175"/>
        <v>0</v>
      </c>
      <c r="G545" s="472">
        <f t="shared" si="173"/>
        <v>0</v>
      </c>
    </row>
    <row r="546" spans="1:7" ht="19.899999999999999" customHeight="1">
      <c r="A546" s="505"/>
      <c r="B546" s="466"/>
      <c r="C546" s="469"/>
      <c r="D546" s="470"/>
      <c r="E546" s="471">
        <f t="shared" si="174"/>
        <v>0</v>
      </c>
      <c r="F546" s="472">
        <f t="shared" si="175"/>
        <v>0</v>
      </c>
      <c r="G546" s="472">
        <f t="shared" si="173"/>
        <v>0</v>
      </c>
    </row>
    <row r="547" spans="1:7" ht="19.899999999999999" customHeight="1">
      <c r="A547" s="505"/>
      <c r="B547" s="466"/>
      <c r="C547" s="163"/>
      <c r="D547" s="163"/>
      <c r="E547" s="473"/>
      <c r="F547" s="458"/>
      <c r="G547" s="507"/>
    </row>
    <row r="548" spans="1:7" ht="19.899999999999999" customHeight="1">
      <c r="A548" s="505"/>
      <c r="B548" s="163"/>
      <c r="C548" s="455" t="s">
        <v>1003</v>
      </c>
      <c r="D548" s="458" t="s">
        <v>1000</v>
      </c>
      <c r="E548" s="524">
        <f>SUMPRODUCT(D537:D546,E537:E546)</f>
        <v>0</v>
      </c>
      <c r="F548" s="458" t="s">
        <v>1004</v>
      </c>
      <c r="G548" s="525">
        <f>SUM(G537:G546)</f>
        <v>0</v>
      </c>
    </row>
    <row r="549" spans="1:7" ht="19.899999999999999" customHeight="1">
      <c r="A549" s="505"/>
      <c r="B549" s="466"/>
      <c r="C549" s="474"/>
      <c r="D549" s="473"/>
      <c r="E549" s="460"/>
      <c r="F549" s="458"/>
      <c r="G549" s="511"/>
    </row>
    <row r="550" spans="1:7" ht="19.899999999999999" customHeight="1">
      <c r="A550" s="512"/>
      <c r="B550" s="466"/>
      <c r="C550" s="458" t="s">
        <v>1005</v>
      </c>
      <c r="D550" s="475"/>
      <c r="E550" s="476" t="str">
        <f ca="1">G532&amp;"/día"</f>
        <v>gl./día</v>
      </c>
      <c r="F550" s="452"/>
      <c r="G550" s="507"/>
    </row>
    <row r="551" spans="1:7" ht="19.899999999999999" customHeight="1">
      <c r="A551" s="505"/>
      <c r="B551" s="466"/>
      <c r="C551" s="163"/>
      <c r="D551" s="459"/>
      <c r="E551" s="460"/>
      <c r="F551" s="458"/>
      <c r="G551" s="507"/>
    </row>
    <row r="552" spans="1:7" ht="19.899999999999999" customHeight="1">
      <c r="A552" s="677" t="s">
        <v>575</v>
      </c>
      <c r="B552" s="678"/>
      <c r="C552" s="679" t="s">
        <v>0</v>
      </c>
      <c r="D552" s="691" t="s">
        <v>1864</v>
      </c>
      <c r="E552" s="691" t="s">
        <v>1863</v>
      </c>
      <c r="F552" s="683" t="s">
        <v>1006</v>
      </c>
      <c r="G552" s="685" t="s">
        <v>25</v>
      </c>
    </row>
    <row r="553" spans="1:7" ht="19.899999999999999" customHeight="1">
      <c r="A553" s="477" t="s">
        <v>576</v>
      </c>
      <c r="B553" s="477" t="s">
        <v>577</v>
      </c>
      <c r="C553" s="680"/>
      <c r="D553" s="692"/>
      <c r="E553" s="682"/>
      <c r="F553" s="684"/>
      <c r="G553" s="686"/>
    </row>
    <row r="554" spans="1:7" ht="19.899999999999999" customHeight="1">
      <c r="A554" s="513"/>
      <c r="B554" s="163"/>
      <c r="C554" s="455" t="s">
        <v>1007</v>
      </c>
      <c r="D554" s="460"/>
      <c r="E554" s="460"/>
      <c r="F554" s="163"/>
      <c r="G554" s="514"/>
    </row>
    <row r="555" spans="1:7" ht="19.899999999999999" customHeight="1">
      <c r="A555" s="515">
        <f t="shared" ref="A555:A563" si="176">IFERROR(VLOOKUP(C555,T_Insumos,4,FALSE),0)</f>
        <v>0</v>
      </c>
      <c r="B555" s="478">
        <f t="shared" ref="B555:B563" si="177">IFERROR(VLOOKUP(C555,T_Insumos,5,FALSE),0)</f>
        <v>0</v>
      </c>
      <c r="C555" s="469"/>
      <c r="D555" s="479">
        <f t="shared" ref="D555:D558" si="178">IFERROR(VLOOKUP(C555,T_Insumos,3,FALSE),0)</f>
        <v>0</v>
      </c>
      <c r="E555" s="472">
        <f>D555*$G$548</f>
        <v>0</v>
      </c>
      <c r="F555" s="475">
        <f>+$D$550</f>
        <v>0</v>
      </c>
      <c r="G555" s="472">
        <f>IFERROR(ROUND(E555/F555,2),0)</f>
        <v>0</v>
      </c>
    </row>
    <row r="556" spans="1:7" ht="19.899999999999999" customHeight="1">
      <c r="A556" s="515"/>
      <c r="B556" s="478"/>
      <c r="C556" s="469"/>
      <c r="D556" s="479">
        <f t="shared" si="178"/>
        <v>0</v>
      </c>
      <c r="E556" s="472">
        <f t="shared" ref="E556:E561" si="179">D556*$G$548</f>
        <v>0</v>
      </c>
      <c r="F556" s="475">
        <f t="shared" ref="F556:F558" si="180">+$D$550</f>
        <v>0</v>
      </c>
      <c r="G556" s="472">
        <f t="shared" ref="G556:G563" si="181">IFERROR(ROUND(E556/F556,2),0)</f>
        <v>0</v>
      </c>
    </row>
    <row r="557" spans="1:7" ht="19.899999999999999" customHeight="1">
      <c r="A557" s="515">
        <f t="shared" si="176"/>
        <v>0</v>
      </c>
      <c r="B557" s="478">
        <f t="shared" si="177"/>
        <v>0</v>
      </c>
      <c r="C557" s="480"/>
      <c r="D557" s="479">
        <f t="shared" si="178"/>
        <v>0</v>
      </c>
      <c r="E557" s="472">
        <f t="shared" si="179"/>
        <v>0</v>
      </c>
      <c r="F557" s="475">
        <f t="shared" si="180"/>
        <v>0</v>
      </c>
      <c r="G557" s="472">
        <f t="shared" si="181"/>
        <v>0</v>
      </c>
    </row>
    <row r="558" spans="1:7" ht="19.899999999999999" customHeight="1">
      <c r="A558" s="515">
        <f t="shared" si="176"/>
        <v>0</v>
      </c>
      <c r="B558" s="478">
        <f t="shared" si="177"/>
        <v>0</v>
      </c>
      <c r="C558" s="480"/>
      <c r="D558" s="479">
        <f t="shared" si="178"/>
        <v>0</v>
      </c>
      <c r="E558" s="472">
        <f t="shared" si="179"/>
        <v>0</v>
      </c>
      <c r="F558" s="475">
        <f t="shared" si="180"/>
        <v>0</v>
      </c>
      <c r="G558" s="472">
        <f t="shared" si="181"/>
        <v>0</v>
      </c>
    </row>
    <row r="559" spans="1:7" ht="19.899999999999999" customHeight="1">
      <c r="A559" s="515">
        <f t="shared" si="176"/>
        <v>0</v>
      </c>
      <c r="B559" s="478">
        <f t="shared" si="177"/>
        <v>0</v>
      </c>
      <c r="C559" s="480"/>
      <c r="D559" s="479">
        <f t="shared" ref="D559:D563" si="182">IFERROR(VLOOKUP(C559,T_Insumos,3,FALSE),0)</f>
        <v>0</v>
      </c>
      <c r="E559" s="472">
        <f t="shared" si="179"/>
        <v>0</v>
      </c>
      <c r="F559" s="475">
        <f>IF(C559="",0,IFERROR(VLOOKUP(COUNTIF($A$1:A559,"ANALISIS DE PRECIOS"),T_Rendimiento_Equipo,5,FALSE),0))</f>
        <v>0</v>
      </c>
      <c r="G559" s="472">
        <f t="shared" si="181"/>
        <v>0</v>
      </c>
    </row>
    <row r="560" spans="1:7" ht="19.899999999999999" customHeight="1">
      <c r="A560" s="515">
        <f t="shared" si="176"/>
        <v>0</v>
      </c>
      <c r="B560" s="478">
        <f t="shared" si="177"/>
        <v>0</v>
      </c>
      <c r="C560" s="480"/>
      <c r="D560" s="479">
        <f t="shared" si="182"/>
        <v>0</v>
      </c>
      <c r="E560" s="472">
        <f t="shared" si="179"/>
        <v>0</v>
      </c>
      <c r="F560" s="475">
        <f>IF(C560="",0,IFERROR(VLOOKUP(COUNTIF($A$1:A560,"ANALISIS DE PRECIOS"),T_Rendimiento_Equipo,5,FALSE),0))</f>
        <v>0</v>
      </c>
      <c r="G560" s="472">
        <f t="shared" si="181"/>
        <v>0</v>
      </c>
    </row>
    <row r="561" spans="1:7" ht="19.899999999999999" customHeight="1">
      <c r="A561" s="515">
        <f t="shared" si="176"/>
        <v>0</v>
      </c>
      <c r="B561" s="478">
        <f t="shared" si="177"/>
        <v>0</v>
      </c>
      <c r="C561" s="480"/>
      <c r="D561" s="479">
        <f t="shared" si="182"/>
        <v>0</v>
      </c>
      <c r="E561" s="472">
        <f t="shared" si="179"/>
        <v>0</v>
      </c>
      <c r="F561" s="475">
        <f>IF(C561="",0,IFERROR(VLOOKUP(COUNTIF($A$1:A561,"ANALISIS DE PRECIOS"),T_Rendimiento_Equipo,5,FALSE),0))</f>
        <v>0</v>
      </c>
      <c r="G561" s="472">
        <f t="shared" si="181"/>
        <v>0</v>
      </c>
    </row>
    <row r="562" spans="1:7" ht="19.899999999999999" customHeight="1">
      <c r="A562" s="515">
        <f t="shared" si="176"/>
        <v>0</v>
      </c>
      <c r="B562" s="478">
        <f t="shared" si="177"/>
        <v>0</v>
      </c>
      <c r="C562" s="480"/>
      <c r="D562" s="479">
        <f t="shared" si="182"/>
        <v>0</v>
      </c>
      <c r="E562" s="472"/>
      <c r="F562" s="475">
        <f>IF(C562="",0,IFERROR(VLOOKUP(COUNTIF($A$1:A562,"ANALISIS DE PRECIOS"),T_Rendimiento_Equipo,5,FALSE),0))</f>
        <v>0</v>
      </c>
      <c r="G562" s="472">
        <f t="shared" si="181"/>
        <v>0</v>
      </c>
    </row>
    <row r="563" spans="1:7" ht="19.899999999999999" customHeight="1">
      <c r="A563" s="515">
        <f t="shared" si="176"/>
        <v>0</v>
      </c>
      <c r="B563" s="478">
        <f t="shared" si="177"/>
        <v>0</v>
      </c>
      <c r="C563" s="469"/>
      <c r="D563" s="479">
        <f t="shared" si="182"/>
        <v>0</v>
      </c>
      <c r="E563" s="472"/>
      <c r="F563" s="475">
        <f>IF(C563="",0,IFERROR(VLOOKUP(COUNTIF($A$1:A563,"ANALISIS DE PRECIOS"),T_Rendimiento_Equipo,5,FALSE),0))</f>
        <v>0</v>
      </c>
      <c r="G563" s="472">
        <f t="shared" si="181"/>
        <v>0</v>
      </c>
    </row>
    <row r="564" spans="1:7" ht="19.899999999999999" customHeight="1">
      <c r="A564" s="516"/>
      <c r="B564" s="459"/>
      <c r="C564" s="163"/>
      <c r="D564" s="459"/>
      <c r="E564" s="460"/>
      <c r="F564" s="481" t="s">
        <v>26</v>
      </c>
      <c r="G564" s="517">
        <f>SUBTOTAL(9,G555:G563)</f>
        <v>0</v>
      </c>
    </row>
    <row r="565" spans="1:7" ht="19.899999999999999" customHeight="1">
      <c r="A565" s="513"/>
      <c r="B565" s="163"/>
      <c r="C565" s="455" t="s">
        <v>712</v>
      </c>
      <c r="D565" s="459"/>
      <c r="E565" s="460"/>
      <c r="F565" s="461"/>
      <c r="G565" s="514"/>
    </row>
    <row r="566" spans="1:7" ht="19.899999999999999" customHeight="1">
      <c r="A566" s="677" t="s">
        <v>575</v>
      </c>
      <c r="B566" s="678"/>
      <c r="C566" s="679" t="s">
        <v>0</v>
      </c>
      <c r="D566" s="681" t="s">
        <v>23</v>
      </c>
      <c r="E566" s="681" t="s">
        <v>1830</v>
      </c>
      <c r="F566" s="683" t="s">
        <v>1006</v>
      </c>
      <c r="G566" s="685" t="s">
        <v>25</v>
      </c>
    </row>
    <row r="567" spans="1:7" ht="19.899999999999999" customHeight="1">
      <c r="A567" s="477" t="s">
        <v>576</v>
      </c>
      <c r="B567" s="477" t="s">
        <v>577</v>
      </c>
      <c r="C567" s="680"/>
      <c r="D567" s="682"/>
      <c r="E567" s="682"/>
      <c r="F567" s="684"/>
      <c r="G567" s="686"/>
    </row>
    <row r="568" spans="1:7" ht="19.899999999999999" customHeight="1">
      <c r="A568" s="515">
        <f t="shared" ref="A568:A571" si="183">IFERROR(VLOOKUP(C568,T_Insumos,4,FALSE),0)</f>
        <v>0</v>
      </c>
      <c r="B568" s="478">
        <f t="shared" ref="B568:B571" si="184">IFERROR(VLOOKUP(C568,T_Insumos,5,FALSE),0)</f>
        <v>0</v>
      </c>
      <c r="C568" s="482"/>
      <c r="D568" s="475"/>
      <c r="E568" s="472">
        <f t="shared" ref="E568:E571" si="185">IFERROR(VLOOKUP(C568,T_Insumos,3,FALSE),0)</f>
        <v>0</v>
      </c>
      <c r="F568" s="475">
        <f>IF(C568="",0,IFERROR(VLOOKUP(COUNTIF($A$1:A568,"ANALISIS DE PRECIOS"),T_Rendimiento_Equipo,5,FALSE),0))</f>
        <v>0</v>
      </c>
      <c r="G568" s="472">
        <f>IFERROR(ROUND(D568*E568/F568,2),0)</f>
        <v>0</v>
      </c>
    </row>
    <row r="569" spans="1:7" ht="19.899999999999999" customHeight="1">
      <c r="A569" s="515">
        <f t="shared" si="183"/>
        <v>0</v>
      </c>
      <c r="B569" s="478">
        <f t="shared" si="184"/>
        <v>0</v>
      </c>
      <c r="C569" s="469"/>
      <c r="D569" s="475"/>
      <c r="E569" s="472">
        <f t="shared" si="185"/>
        <v>0</v>
      </c>
      <c r="F569" s="475">
        <f>IF(C569="",0,IFERROR(VLOOKUP(COUNTIF($A$1:A569,"ANALISIS DE PRECIOS"),T_Rendimiento_Equipo,5,FALSE),0))</f>
        <v>0</v>
      </c>
      <c r="G569" s="472">
        <f t="shared" ref="G569:G574" si="186">IFERROR(ROUND(D569*E569/F569,2),0)</f>
        <v>0</v>
      </c>
    </row>
    <row r="570" spans="1:7" ht="19.899999999999999" customHeight="1">
      <c r="A570" s="515">
        <f t="shared" si="183"/>
        <v>0</v>
      </c>
      <c r="B570" s="478">
        <f t="shared" si="184"/>
        <v>0</v>
      </c>
      <c r="C570" s="469"/>
      <c r="D570" s="475"/>
      <c r="E570" s="472">
        <f t="shared" si="185"/>
        <v>0</v>
      </c>
      <c r="F570" s="475">
        <f>IF(C570="",0,IFERROR(VLOOKUP(COUNTIF($A$1:A570,"ANALISIS DE PRECIOS"),T_Rendimiento_Equipo,5,FALSE),0))</f>
        <v>0</v>
      </c>
      <c r="G570" s="472">
        <f t="shared" si="186"/>
        <v>0</v>
      </c>
    </row>
    <row r="571" spans="1:7" ht="19.899999999999999" customHeight="1">
      <c r="A571" s="515">
        <f t="shared" si="183"/>
        <v>0</v>
      </c>
      <c r="B571" s="478">
        <f t="shared" si="184"/>
        <v>0</v>
      </c>
      <c r="C571" s="469"/>
      <c r="D571" s="475"/>
      <c r="E571" s="472">
        <f t="shared" si="185"/>
        <v>0</v>
      </c>
      <c r="F571" s="475">
        <f>IF(C571="",0,IFERROR(VLOOKUP(COUNTIF($A$1:A571,"ANALISIS DE PRECIOS"),T_Rendimiento_Equipo,5,FALSE),0))</f>
        <v>0</v>
      </c>
      <c r="G571" s="472">
        <f t="shared" si="186"/>
        <v>0</v>
      </c>
    </row>
    <row r="572" spans="1:7" ht="19.899999999999999" customHeight="1">
      <c r="A572" s="515">
        <f t="shared" ref="A572:A574" si="187">IFERROR(VLOOKUP(C572,T_Insumos,4,FALSE),0)</f>
        <v>0</v>
      </c>
      <c r="B572" s="478">
        <f t="shared" ref="B572:B574" si="188">IFERROR(VLOOKUP(C572,T_Insumos,5,FALSE),0)</f>
        <v>0</v>
      </c>
      <c r="C572" s="469"/>
      <c r="D572" s="475"/>
      <c r="E572" s="472">
        <f t="shared" ref="E572:E574" si="189">IFERROR(VLOOKUP(C572,T_Insumos,3,FALSE),0)</f>
        <v>0</v>
      </c>
      <c r="F572" s="475">
        <f>IF(C572="",0,IFERROR(VLOOKUP(COUNTIF($A$1:A572,"ANALISIS DE PRECIOS"),T_Rendimiento_Equipo,5,FALSE),0))</f>
        <v>0</v>
      </c>
      <c r="G572" s="472">
        <f t="shared" si="186"/>
        <v>0</v>
      </c>
    </row>
    <row r="573" spans="1:7" ht="19.899999999999999" customHeight="1">
      <c r="A573" s="515">
        <f t="shared" si="187"/>
        <v>0</v>
      </c>
      <c r="B573" s="478">
        <f t="shared" si="188"/>
        <v>0</v>
      </c>
      <c r="C573" s="469"/>
      <c r="D573" s="483"/>
      <c r="E573" s="472">
        <f>SUMPRODUCT(D568:D571,E568:E571)</f>
        <v>0</v>
      </c>
      <c r="F573" s="475">
        <f>IF(C573="",0,IFERROR(VLOOKUP(COUNTIF($A$1:A573,"ANALISIS DE PRECIOS"),T_Rendimiento_Equipo,5,FALSE),0))</f>
        <v>0</v>
      </c>
      <c r="G573" s="472">
        <f t="shared" si="186"/>
        <v>0</v>
      </c>
    </row>
    <row r="574" spans="1:7" ht="19.899999999999999" customHeight="1">
      <c r="A574" s="515">
        <f t="shared" si="187"/>
        <v>0</v>
      </c>
      <c r="B574" s="478">
        <f t="shared" si="188"/>
        <v>0</v>
      </c>
      <c r="C574" s="478"/>
      <c r="D574" s="484"/>
      <c r="E574" s="472">
        <f t="shared" si="189"/>
        <v>0</v>
      </c>
      <c r="F574" s="475">
        <f>IF(C574="",0,IFERROR(VLOOKUP(COUNTIF($A$1:A574,"ANALISIS DE PRECIOS"),T_Rendimiento_Equipo,5,FALSE),0))</f>
        <v>0</v>
      </c>
      <c r="G574" s="472">
        <f t="shared" si="186"/>
        <v>0</v>
      </c>
    </row>
    <row r="575" spans="1:7" ht="19.899999999999999" customHeight="1">
      <c r="A575" s="516"/>
      <c r="B575" s="459"/>
      <c r="C575" s="163"/>
      <c r="D575" s="459"/>
      <c r="E575" s="460"/>
      <c r="F575" s="481" t="s">
        <v>27</v>
      </c>
      <c r="G575" s="518">
        <f>SUBTOTAL(9,G568:G574)</f>
        <v>0</v>
      </c>
    </row>
    <row r="576" spans="1:7" ht="19.899999999999999" customHeight="1">
      <c r="A576" s="513"/>
      <c r="B576" s="163"/>
      <c r="C576" s="455" t="s">
        <v>1013</v>
      </c>
      <c r="D576" s="459"/>
      <c r="E576" s="460"/>
      <c r="F576" s="461"/>
      <c r="G576" s="514"/>
    </row>
    <row r="577" spans="1:7" ht="19.899999999999999" customHeight="1">
      <c r="A577" s="677" t="s">
        <v>575</v>
      </c>
      <c r="B577" s="678"/>
      <c r="C577" s="679" t="s">
        <v>0</v>
      </c>
      <c r="D577" s="679" t="s">
        <v>1865</v>
      </c>
      <c r="E577" s="681" t="s">
        <v>23</v>
      </c>
      <c r="F577" s="683" t="s">
        <v>24</v>
      </c>
      <c r="G577" s="685" t="s">
        <v>25</v>
      </c>
    </row>
    <row r="578" spans="1:7" ht="19.899999999999999" customHeight="1">
      <c r="A578" s="477" t="s">
        <v>576</v>
      </c>
      <c r="B578" s="477" t="s">
        <v>577</v>
      </c>
      <c r="C578" s="680"/>
      <c r="D578" s="680"/>
      <c r="E578" s="682"/>
      <c r="F578" s="684"/>
      <c r="G578" s="686"/>
    </row>
    <row r="579" spans="1:7" ht="19.899999999999999" customHeight="1">
      <c r="A579" s="515">
        <f t="shared" ref="A579:A589" si="190">IFERROR(VLOOKUP(C579,T_Insumos,4,FALSE),0)</f>
        <v>0</v>
      </c>
      <c r="B579" s="478">
        <f t="shared" ref="B579:B589" si="191">IFERROR(VLOOKUP(C579,T_Insumos,5,FALSE),0)</f>
        <v>0</v>
      </c>
      <c r="C579" s="478"/>
      <c r="D579" s="526"/>
      <c r="E579" s="470"/>
      <c r="F579" s="472">
        <f t="shared" ref="F579:F584" si="192">IFERROR(VLOOKUP(C579,T_Insumos,3,FALSE),0)</f>
        <v>0</v>
      </c>
      <c r="G579" s="472">
        <f>ROUND(E579*F579,2)</f>
        <v>0</v>
      </c>
    </row>
    <row r="580" spans="1:7" ht="19.899999999999999" customHeight="1">
      <c r="A580" s="515">
        <f t="shared" si="190"/>
        <v>0</v>
      </c>
      <c r="B580" s="478">
        <f t="shared" si="191"/>
        <v>0</v>
      </c>
      <c r="C580" s="478"/>
      <c r="D580" s="526"/>
      <c r="E580" s="470"/>
      <c r="F580" s="472">
        <f t="shared" si="192"/>
        <v>0</v>
      </c>
      <c r="G580" s="472">
        <f t="shared" ref="G580:G589" si="193">ROUND(E580*F580,2)</f>
        <v>0</v>
      </c>
    </row>
    <row r="581" spans="1:7" ht="19.899999999999999" customHeight="1">
      <c r="A581" s="515">
        <f t="shared" si="190"/>
        <v>0</v>
      </c>
      <c r="B581" s="478">
        <f t="shared" si="191"/>
        <v>0</v>
      </c>
      <c r="C581" s="478"/>
      <c r="D581" s="526"/>
      <c r="E581" s="470"/>
      <c r="F581" s="472">
        <f t="shared" si="192"/>
        <v>0</v>
      </c>
      <c r="G581" s="472">
        <f t="shared" si="193"/>
        <v>0</v>
      </c>
    </row>
    <row r="582" spans="1:7" ht="19.899999999999999" customHeight="1">
      <c r="A582" s="515">
        <f t="shared" si="190"/>
        <v>0</v>
      </c>
      <c r="B582" s="478">
        <f t="shared" si="191"/>
        <v>0</v>
      </c>
      <c r="C582" s="478"/>
      <c r="D582" s="526"/>
      <c r="E582" s="470"/>
      <c r="F582" s="472">
        <f t="shared" si="192"/>
        <v>0</v>
      </c>
      <c r="G582" s="472">
        <f t="shared" si="193"/>
        <v>0</v>
      </c>
    </row>
    <row r="583" spans="1:7" ht="19.899999999999999" customHeight="1">
      <c r="A583" s="515">
        <f t="shared" si="190"/>
        <v>0</v>
      </c>
      <c r="B583" s="478">
        <f t="shared" si="191"/>
        <v>0</v>
      </c>
      <c r="C583" s="478"/>
      <c r="D583" s="526"/>
      <c r="E583" s="470"/>
      <c r="F583" s="472">
        <f t="shared" si="192"/>
        <v>0</v>
      </c>
      <c r="G583" s="472">
        <f t="shared" si="193"/>
        <v>0</v>
      </c>
    </row>
    <row r="584" spans="1:7" ht="19.899999999999999" customHeight="1">
      <c r="A584" s="515">
        <f t="shared" si="190"/>
        <v>0</v>
      </c>
      <c r="B584" s="478">
        <f t="shared" si="191"/>
        <v>0</v>
      </c>
      <c r="C584" s="478"/>
      <c r="D584" s="526"/>
      <c r="E584" s="470"/>
      <c r="F584" s="472">
        <f t="shared" si="192"/>
        <v>0</v>
      </c>
      <c r="G584" s="472">
        <f t="shared" si="193"/>
        <v>0</v>
      </c>
    </row>
    <row r="585" spans="1:7" ht="19.899999999999999" customHeight="1">
      <c r="A585" s="515">
        <f t="shared" si="190"/>
        <v>0</v>
      </c>
      <c r="B585" s="478">
        <f t="shared" si="191"/>
        <v>0</v>
      </c>
      <c r="C585" s="478"/>
      <c r="D585" s="526">
        <f t="shared" ref="D585:D589" si="194">IFERROR(VLOOKUP(C585,T_Insumos,2,FALSE),0)</f>
        <v>0</v>
      </c>
      <c r="E585" s="470"/>
      <c r="F585" s="472">
        <f t="shared" ref="F585:F589" si="195">IFERROR(VLOOKUP(C585,T_Insumos,3,FALSE),0)</f>
        <v>0</v>
      </c>
      <c r="G585" s="472">
        <f t="shared" si="193"/>
        <v>0</v>
      </c>
    </row>
    <row r="586" spans="1:7" ht="19.899999999999999" customHeight="1">
      <c r="A586" s="515">
        <f t="shared" si="190"/>
        <v>0</v>
      </c>
      <c r="B586" s="478">
        <f t="shared" si="191"/>
        <v>0</v>
      </c>
      <c r="C586" s="478"/>
      <c r="D586" s="526">
        <f t="shared" si="194"/>
        <v>0</v>
      </c>
      <c r="E586" s="470"/>
      <c r="F586" s="472">
        <f t="shared" si="195"/>
        <v>0</v>
      </c>
      <c r="G586" s="472">
        <f t="shared" si="193"/>
        <v>0</v>
      </c>
    </row>
    <row r="587" spans="1:7" ht="19.899999999999999" customHeight="1">
      <c r="A587" s="515">
        <f t="shared" si="190"/>
        <v>0</v>
      </c>
      <c r="B587" s="478">
        <f t="shared" si="191"/>
        <v>0</v>
      </c>
      <c r="C587" s="478"/>
      <c r="D587" s="526">
        <f t="shared" si="194"/>
        <v>0</v>
      </c>
      <c r="E587" s="470"/>
      <c r="F587" s="472">
        <f t="shared" si="195"/>
        <v>0</v>
      </c>
      <c r="G587" s="472">
        <f t="shared" si="193"/>
        <v>0</v>
      </c>
    </row>
    <row r="588" spans="1:7" ht="19.899999999999999" customHeight="1">
      <c r="A588" s="515">
        <f t="shared" si="190"/>
        <v>0</v>
      </c>
      <c r="B588" s="478">
        <f t="shared" si="191"/>
        <v>0</v>
      </c>
      <c r="C588" s="478"/>
      <c r="D588" s="526">
        <f t="shared" si="194"/>
        <v>0</v>
      </c>
      <c r="E588" s="470"/>
      <c r="F588" s="472">
        <f t="shared" si="195"/>
        <v>0</v>
      </c>
      <c r="G588" s="472">
        <f t="shared" si="193"/>
        <v>0</v>
      </c>
    </row>
    <row r="589" spans="1:7" ht="19.899999999999999" customHeight="1">
      <c r="A589" s="515">
        <f t="shared" si="190"/>
        <v>0</v>
      </c>
      <c r="B589" s="478">
        <f t="shared" si="191"/>
        <v>0</v>
      </c>
      <c r="C589" s="478"/>
      <c r="D589" s="526">
        <f t="shared" si="194"/>
        <v>0</v>
      </c>
      <c r="E589" s="470"/>
      <c r="F589" s="472">
        <f t="shared" si="195"/>
        <v>0</v>
      </c>
      <c r="G589" s="472">
        <f t="shared" si="193"/>
        <v>0</v>
      </c>
    </row>
    <row r="590" spans="1:7" ht="19.899999999999999" customHeight="1">
      <c r="A590" s="513"/>
      <c r="B590" s="163"/>
      <c r="C590" s="163"/>
      <c r="D590" s="459"/>
      <c r="E590" s="460"/>
      <c r="F590" s="481" t="s">
        <v>28</v>
      </c>
      <c r="G590" s="518">
        <f>SUBTOTAL(9,G579:G589)</f>
        <v>0</v>
      </c>
    </row>
    <row r="591" spans="1:7" ht="19.899999999999999" customHeight="1">
      <c r="A591" s="513"/>
      <c r="B591" s="163"/>
      <c r="C591" s="455" t="s">
        <v>1014</v>
      </c>
      <c r="D591" s="459"/>
      <c r="E591" s="460"/>
      <c r="F591" s="461"/>
      <c r="G591" s="514"/>
    </row>
    <row r="592" spans="1:7" ht="19.899999999999999" customHeight="1">
      <c r="A592" s="677" t="s">
        <v>575</v>
      </c>
      <c r="B592" s="678"/>
      <c r="C592" s="679" t="s">
        <v>0</v>
      </c>
      <c r="D592" s="679" t="s">
        <v>1865</v>
      </c>
      <c r="E592" s="681" t="s">
        <v>23</v>
      </c>
      <c r="F592" s="683" t="s">
        <v>24</v>
      </c>
      <c r="G592" s="685" t="s">
        <v>25</v>
      </c>
    </row>
    <row r="593" spans="1:8" ht="19.899999999999999" customHeight="1">
      <c r="A593" s="477" t="s">
        <v>576</v>
      </c>
      <c r="B593" s="477" t="s">
        <v>577</v>
      </c>
      <c r="C593" s="680"/>
      <c r="D593" s="680"/>
      <c r="E593" s="682"/>
      <c r="F593" s="684"/>
      <c r="G593" s="686"/>
    </row>
    <row r="594" spans="1:8" ht="19.899999999999999" customHeight="1">
      <c r="A594" s="515">
        <f>IFERROR(VLOOKUP(C594,T_Insumos,4,FALSE),0)</f>
        <v>0</v>
      </c>
      <c r="B594" s="478">
        <f>IFERROR(VLOOKUP(C594,T_Insumos,5,FALSE),0)</f>
        <v>0</v>
      </c>
      <c r="C594" s="469"/>
      <c r="D594" s="526">
        <f>IF(C594=0,0,"$/tnkm")</f>
        <v>0</v>
      </c>
      <c r="E594" s="470"/>
      <c r="F594" s="472">
        <f>IFERROR(VLOOKUP(C594,T_Insumos,3,FALSE),0)</f>
        <v>0</v>
      </c>
      <c r="G594" s="472">
        <f>ROUND(E594*F594,2)</f>
        <v>0</v>
      </c>
    </row>
    <row r="595" spans="1:8" ht="19.899999999999999" customHeight="1">
      <c r="A595" s="515">
        <f>IFERROR(VLOOKUP(C595,T_Insumos,4,FALSE),0)</f>
        <v>0</v>
      </c>
      <c r="B595" s="478">
        <f>IFERROR(VLOOKUP(C595,T_Insumos,5,FALSE),0)</f>
        <v>0</v>
      </c>
      <c r="C595" s="469"/>
      <c r="D595" s="526">
        <f>IF(C595=0,0,"$/tnkm")</f>
        <v>0</v>
      </c>
      <c r="E595" s="486"/>
      <c r="F595" s="472">
        <f>IFERROR(VLOOKUP(C595,T_Insumos,3,FALSE),0)</f>
        <v>0</v>
      </c>
      <c r="G595" s="472">
        <f t="shared" ref="G595" si="196">ROUND(E595*F595,2)</f>
        <v>0</v>
      </c>
    </row>
    <row r="596" spans="1:8" ht="19.899999999999999" customHeight="1">
      <c r="A596" s="513"/>
      <c r="B596" s="163"/>
      <c r="C596" s="163"/>
      <c r="D596" s="459"/>
      <c r="E596" s="460"/>
      <c r="F596" s="481" t="s">
        <v>1015</v>
      </c>
      <c r="G596" s="518">
        <f>SUBTOTAL(9,G594:G595)</f>
        <v>0</v>
      </c>
    </row>
    <row r="597" spans="1:8" ht="19.899999999999999" customHeight="1">
      <c r="A597" s="516"/>
      <c r="B597" s="459"/>
      <c r="C597" s="163"/>
      <c r="D597" s="459"/>
      <c r="E597" s="460"/>
      <c r="F597" s="461"/>
      <c r="G597" s="514"/>
    </row>
    <row r="598" spans="1:8" ht="19.899999999999999" customHeight="1">
      <c r="A598" s="574" t="str">
        <f>B532</f>
        <v>3.3.1</v>
      </c>
      <c r="B598" s="571" t="str">
        <f ca="1">C532</f>
        <v>Reemplazo de compuertas obra de toma</v>
      </c>
      <c r="C598" s="459"/>
      <c r="D598" s="459" t="s">
        <v>1831</v>
      </c>
      <c r="E598" s="572"/>
      <c r="F598" s="573" t="str">
        <f ca="1">"$/"&amp;G532</f>
        <v>$/gl.</v>
      </c>
      <c r="G598" s="523">
        <f>SUBTOTAL(9,G555:G597)</f>
        <v>0</v>
      </c>
    </row>
    <row r="599" spans="1:8" ht="19.899999999999999" customHeight="1">
      <c r="A599" s="519"/>
      <c r="B599" s="520"/>
      <c r="C599" s="521"/>
      <c r="D599" s="521" t="s">
        <v>2041</v>
      </c>
      <c r="E599" s="522"/>
      <c r="F599" s="575" t="str">
        <f ca="1">"$/"&amp;G532</f>
        <v>$/gl.</v>
      </c>
      <c r="G599" s="523">
        <f>ROUND(G598*Coeficiente_Paso,2)</f>
        <v>0</v>
      </c>
    </row>
    <row r="600" spans="1:8" ht="19.899999999999999" customHeight="1">
      <c r="A600" s="163"/>
      <c r="B600" s="163"/>
      <c r="C600" s="163"/>
      <c r="D600" s="163"/>
      <c r="E600" s="163"/>
      <c r="F600" s="163"/>
      <c r="G600" s="163"/>
    </row>
    <row r="601" spans="1:8" ht="19.899999999999999" customHeight="1">
      <c r="A601" s="687" t="s">
        <v>30</v>
      </c>
      <c r="B601" s="688"/>
      <c r="C601" s="688"/>
      <c r="D601" s="688"/>
      <c r="E601" s="688"/>
      <c r="F601" s="688"/>
      <c r="G601" s="689"/>
      <c r="H601" s="60"/>
    </row>
    <row r="602" spans="1:8" ht="19.899999999999999" customHeight="1">
      <c r="A602" s="502" t="s">
        <v>710</v>
      </c>
      <c r="B602" s="453" t="str">
        <f>Comitente</f>
        <v>DEPARTAMENTO DE HIDRAULICA</v>
      </c>
      <c r="C602" s="454"/>
      <c r="D602" s="455"/>
      <c r="E602" s="455"/>
      <c r="F602" s="456"/>
      <c r="G602" s="503"/>
      <c r="H602" s="60"/>
    </row>
    <row r="603" spans="1:8" ht="19.899999999999999" customHeight="1">
      <c r="A603" s="502" t="s">
        <v>711</v>
      </c>
      <c r="B603" s="453">
        <f>Contratista</f>
        <v>0</v>
      </c>
      <c r="C603" s="457"/>
      <c r="D603" s="457"/>
      <c r="E603" s="457"/>
      <c r="F603" s="453"/>
      <c r="G603" s="504"/>
      <c r="H603" s="60"/>
    </row>
    <row r="604" spans="1:8" ht="19.899999999999999" customHeight="1">
      <c r="A604" s="502" t="s">
        <v>20</v>
      </c>
      <c r="B604" s="453" t="str">
        <f>Obra</f>
        <v>MEJORA DE LA RED DE RIEGO DEL VALLE DE JÁCHAL</v>
      </c>
      <c r="C604" s="457"/>
      <c r="D604" s="457"/>
      <c r="E604" s="457"/>
      <c r="F604" s="453" t="s">
        <v>31</v>
      </c>
      <c r="G604" s="504" t="str">
        <f>Fecha_Base</f>
        <v>XX/07/2020</v>
      </c>
      <c r="H604" s="60"/>
    </row>
    <row r="605" spans="1:8" ht="19.899999999999999" customHeight="1">
      <c r="A605" s="505" t="s">
        <v>709</v>
      </c>
      <c r="B605" s="458" t="str">
        <f>Ubicación</f>
        <v>JACHAL</v>
      </c>
      <c r="C605" s="458"/>
      <c r="D605" s="459"/>
      <c r="E605" s="460"/>
      <c r="F605" s="461"/>
      <c r="G605" s="506"/>
      <c r="H605" s="60"/>
    </row>
    <row r="606" spans="1:8" ht="19.899999999999999" customHeight="1">
      <c r="A606" s="505" t="s">
        <v>32</v>
      </c>
      <c r="B606" s="462">
        <f>IFERROR(VALUE(LEFT(B607,FIND(".",B607)-1)),"")</f>
        <v>3</v>
      </c>
      <c r="C606" s="163" t="str">
        <f ca="1">IFERROR(VLOOKUP(B606,T_Computo_Presupuesto,2,FALSE),0)</f>
        <v>AZUD PACHIMOCO</v>
      </c>
      <c r="D606" s="163"/>
      <c r="E606" s="460"/>
      <c r="F606" s="461"/>
      <c r="G606" s="506"/>
      <c r="H606" s="60"/>
    </row>
    <row r="607" spans="1:8" ht="19.899999999999999" customHeight="1">
      <c r="A607" s="505" t="s">
        <v>21</v>
      </c>
      <c r="B607" s="463" t="str">
        <f>IFERROR(VLOOKUP(COUNTIF($A$1:A607,"ANALISIS DE PRECIOS"),T_NumeroItem,2,FALSE),"")</f>
        <v>3.3.2</v>
      </c>
      <c r="C607" s="690" t="str">
        <f ca="1">IFERROR(VLOOKUP(B607,T_Computo_Presupuesto,2,FALSE),0)</f>
        <v>Motorizacion/Electrificacion obra de toma</v>
      </c>
      <c r="D607" s="690"/>
      <c r="E607" s="690"/>
      <c r="F607" s="458" t="s">
        <v>22</v>
      </c>
      <c r="G607" s="507" t="str">
        <f ca="1">IFERROR(VLOOKUP(B607,T_Computo_Presupuesto,4,FALSE),0)</f>
        <v>gl.</v>
      </c>
      <c r="H607" s="60"/>
    </row>
    <row r="608" spans="1:8" ht="19.899999999999999" customHeight="1">
      <c r="A608" s="505"/>
      <c r="B608" s="458"/>
      <c r="C608" s="163"/>
      <c r="D608" s="459"/>
      <c r="E608" s="460"/>
      <c r="F608" s="163"/>
      <c r="G608" s="508"/>
      <c r="H608" s="60"/>
    </row>
    <row r="609" spans="1:8" ht="19.899999999999999" customHeight="1">
      <c r="A609" s="509"/>
      <c r="B609" s="464"/>
      <c r="C609" s="465" t="s">
        <v>998</v>
      </c>
      <c r="D609" s="464"/>
      <c r="E609" s="464"/>
      <c r="F609" s="464"/>
      <c r="G609" s="510"/>
      <c r="H609" s="60"/>
    </row>
    <row r="610" spans="1:8" ht="19.899999999999999" customHeight="1">
      <c r="A610" s="505"/>
      <c r="B610" s="466"/>
      <c r="C610" s="163"/>
      <c r="D610" s="459"/>
      <c r="E610" s="460"/>
      <c r="F610" s="458"/>
      <c r="G610" s="507"/>
      <c r="H610" s="60"/>
    </row>
    <row r="611" spans="1:8" ht="19.899999999999999" customHeight="1">
      <c r="A611" s="505"/>
      <c r="B611" s="466"/>
      <c r="C611" s="467" t="s">
        <v>999</v>
      </c>
      <c r="D611" s="468" t="s">
        <v>23</v>
      </c>
      <c r="E611" s="468" t="s">
        <v>1000</v>
      </c>
      <c r="F611" s="468" t="s">
        <v>1001</v>
      </c>
      <c r="G611" s="467" t="s">
        <v>1002</v>
      </c>
    </row>
    <row r="612" spans="1:8" ht="19.899999999999999" customHeight="1">
      <c r="A612" s="505"/>
      <c r="B612" s="466"/>
      <c r="C612" s="469"/>
      <c r="D612" s="470"/>
      <c r="E612" s="471"/>
      <c r="F612" s="472"/>
      <c r="G612" s="472">
        <f>ROUND(D612*F612,2)</f>
        <v>0</v>
      </c>
    </row>
    <row r="613" spans="1:8" ht="19.899999999999999" customHeight="1">
      <c r="A613" s="505"/>
      <c r="B613" s="466"/>
      <c r="C613" s="469"/>
      <c r="D613" s="470"/>
      <c r="E613" s="471"/>
      <c r="F613" s="472"/>
      <c r="G613" s="472">
        <f>ROUND(D613*F613,2)</f>
        <v>0</v>
      </c>
    </row>
    <row r="614" spans="1:8" ht="19.899999999999999" customHeight="1">
      <c r="A614" s="505"/>
      <c r="B614" s="466"/>
      <c r="C614" s="469"/>
      <c r="D614" s="470"/>
      <c r="E614" s="471"/>
      <c r="F614" s="472"/>
      <c r="G614" s="472">
        <f>ROUND(D614*F614,2)</f>
        <v>0</v>
      </c>
    </row>
    <row r="615" spans="1:8" ht="19.899999999999999" customHeight="1">
      <c r="A615" s="505"/>
      <c r="B615" s="466"/>
      <c r="C615" s="469"/>
      <c r="D615" s="470"/>
      <c r="E615" s="471">
        <f t="shared" ref="E615:E621" si="197">IFERROR(VLOOKUP(C615,T_Equipos,4,FALSE),0)</f>
        <v>0</v>
      </c>
      <c r="F615" s="472">
        <f t="shared" ref="F615:F621" si="198">IFERROR(VLOOKUP(C615,T_Equipos,5,FALSE),0)</f>
        <v>0</v>
      </c>
      <c r="G615" s="472">
        <f>ROUND(D615*F615,2)</f>
        <v>0</v>
      </c>
    </row>
    <row r="616" spans="1:8" ht="19.899999999999999" customHeight="1">
      <c r="A616" s="505"/>
      <c r="B616" s="466"/>
      <c r="C616" s="469"/>
      <c r="D616" s="470"/>
      <c r="E616" s="471">
        <f t="shared" si="197"/>
        <v>0</v>
      </c>
      <c r="F616" s="472">
        <f t="shared" si="198"/>
        <v>0</v>
      </c>
      <c r="G616" s="472">
        <f t="shared" ref="G616:G621" si="199">ROUND(D616*F616,2)</f>
        <v>0</v>
      </c>
    </row>
    <row r="617" spans="1:8" ht="19.899999999999999" customHeight="1">
      <c r="A617" s="505"/>
      <c r="B617" s="466"/>
      <c r="C617" s="469"/>
      <c r="D617" s="470"/>
      <c r="E617" s="471">
        <f t="shared" si="197"/>
        <v>0</v>
      </c>
      <c r="F617" s="472">
        <f t="shared" si="198"/>
        <v>0</v>
      </c>
      <c r="G617" s="472">
        <f t="shared" si="199"/>
        <v>0</v>
      </c>
    </row>
    <row r="618" spans="1:8" ht="19.899999999999999" customHeight="1">
      <c r="A618" s="505"/>
      <c r="B618" s="466"/>
      <c r="C618" s="469"/>
      <c r="D618" s="470"/>
      <c r="E618" s="471">
        <f t="shared" si="197"/>
        <v>0</v>
      </c>
      <c r="F618" s="472">
        <f t="shared" si="198"/>
        <v>0</v>
      </c>
      <c r="G618" s="472">
        <f t="shared" si="199"/>
        <v>0</v>
      </c>
    </row>
    <row r="619" spans="1:8" ht="19.899999999999999" customHeight="1">
      <c r="A619" s="505"/>
      <c r="B619" s="466"/>
      <c r="C619" s="469"/>
      <c r="D619" s="470"/>
      <c r="E619" s="471">
        <f t="shared" si="197"/>
        <v>0</v>
      </c>
      <c r="F619" s="472">
        <f t="shared" si="198"/>
        <v>0</v>
      </c>
      <c r="G619" s="472">
        <f t="shared" si="199"/>
        <v>0</v>
      </c>
    </row>
    <row r="620" spans="1:8" ht="19.899999999999999" customHeight="1">
      <c r="A620" s="505"/>
      <c r="B620" s="466"/>
      <c r="C620" s="469"/>
      <c r="D620" s="470"/>
      <c r="E620" s="471">
        <f t="shared" si="197"/>
        <v>0</v>
      </c>
      <c r="F620" s="472">
        <f t="shared" si="198"/>
        <v>0</v>
      </c>
      <c r="G620" s="472">
        <f t="shared" si="199"/>
        <v>0</v>
      </c>
    </row>
    <row r="621" spans="1:8" ht="19.899999999999999" customHeight="1">
      <c r="A621" s="505"/>
      <c r="B621" s="466"/>
      <c r="C621" s="469"/>
      <c r="D621" s="470"/>
      <c r="E621" s="471">
        <f t="shared" si="197"/>
        <v>0</v>
      </c>
      <c r="F621" s="472">
        <f t="shared" si="198"/>
        <v>0</v>
      </c>
      <c r="G621" s="472">
        <f t="shared" si="199"/>
        <v>0</v>
      </c>
    </row>
    <row r="622" spans="1:8" ht="19.899999999999999" customHeight="1">
      <c r="A622" s="505"/>
      <c r="B622" s="466"/>
      <c r="C622" s="163"/>
      <c r="D622" s="163"/>
      <c r="E622" s="473"/>
      <c r="F622" s="458"/>
      <c r="G622" s="507"/>
    </row>
    <row r="623" spans="1:8" ht="19.899999999999999" customHeight="1">
      <c r="A623" s="505"/>
      <c r="B623" s="163"/>
      <c r="C623" s="455" t="s">
        <v>1003</v>
      </c>
      <c r="D623" s="458" t="s">
        <v>1000</v>
      </c>
      <c r="E623" s="524">
        <f>SUMPRODUCT(D612:D621,E612:E621)</f>
        <v>0</v>
      </c>
      <c r="F623" s="458" t="s">
        <v>1004</v>
      </c>
      <c r="G623" s="525">
        <f>SUM(G612:G621)</f>
        <v>0</v>
      </c>
    </row>
    <row r="624" spans="1:8" ht="19.899999999999999" customHeight="1">
      <c r="A624" s="505"/>
      <c r="B624" s="466"/>
      <c r="C624" s="474"/>
      <c r="D624" s="473"/>
      <c r="E624" s="460"/>
      <c r="F624" s="458"/>
      <c r="G624" s="511"/>
    </row>
    <row r="625" spans="1:7" ht="19.899999999999999" customHeight="1">
      <c r="A625" s="512"/>
      <c r="B625" s="466"/>
      <c r="C625" s="458" t="s">
        <v>1005</v>
      </c>
      <c r="D625" s="616"/>
      <c r="E625" s="476" t="str">
        <f ca="1">G607&amp;"/día"</f>
        <v>gl./día</v>
      </c>
      <c r="F625" s="452"/>
      <c r="G625" s="507"/>
    </row>
    <row r="626" spans="1:7" ht="19.899999999999999" customHeight="1">
      <c r="A626" s="505"/>
      <c r="B626" s="466"/>
      <c r="C626" s="163"/>
      <c r="D626" s="459"/>
      <c r="E626" s="460"/>
      <c r="F626" s="458"/>
      <c r="G626" s="507"/>
    </row>
    <row r="627" spans="1:7" ht="19.899999999999999" customHeight="1">
      <c r="A627" s="677" t="s">
        <v>575</v>
      </c>
      <c r="B627" s="678"/>
      <c r="C627" s="679" t="s">
        <v>0</v>
      </c>
      <c r="D627" s="691" t="s">
        <v>1864</v>
      </c>
      <c r="E627" s="691" t="s">
        <v>1863</v>
      </c>
      <c r="F627" s="683" t="s">
        <v>1006</v>
      </c>
      <c r="G627" s="685" t="s">
        <v>25</v>
      </c>
    </row>
    <row r="628" spans="1:7" ht="19.899999999999999" customHeight="1">
      <c r="A628" s="477" t="s">
        <v>576</v>
      </c>
      <c r="B628" s="477" t="s">
        <v>577</v>
      </c>
      <c r="C628" s="680"/>
      <c r="D628" s="692"/>
      <c r="E628" s="682"/>
      <c r="F628" s="684"/>
      <c r="G628" s="686"/>
    </row>
    <row r="629" spans="1:7" ht="19.899999999999999" customHeight="1">
      <c r="A629" s="513"/>
      <c r="B629" s="163"/>
      <c r="C629" s="455" t="s">
        <v>1007</v>
      </c>
      <c r="D629" s="460"/>
      <c r="E629" s="460"/>
      <c r="F629" s="163"/>
      <c r="G629" s="514"/>
    </row>
    <row r="630" spans="1:7" ht="19.899999999999999" customHeight="1">
      <c r="A630" s="515">
        <f t="shared" ref="A630:A638" si="200">IFERROR(VLOOKUP(C630,T_Insumos,4,FALSE),0)</f>
        <v>0</v>
      </c>
      <c r="B630" s="478">
        <f t="shared" ref="B630:B638" si="201">IFERROR(VLOOKUP(C630,T_Insumos,5,FALSE),0)</f>
        <v>0</v>
      </c>
      <c r="C630" s="469"/>
      <c r="D630" s="479">
        <f t="shared" ref="D630:D633" si="202">IFERROR(VLOOKUP(C630,T_Insumos,3,FALSE),0)</f>
        <v>0</v>
      </c>
      <c r="E630" s="472">
        <f>D630*$G$623</f>
        <v>0</v>
      </c>
      <c r="F630" s="475">
        <f>IF(C630="",0,IFERROR(VLOOKUP(COUNTIF($A$1:A630,"ANALISIS DE PRECIOS"),T_Rendimiento_Equipo,5,FALSE),0))</f>
        <v>0</v>
      </c>
      <c r="G630" s="472">
        <f>IFERROR(ROUND(E630/F630,2),0)</f>
        <v>0</v>
      </c>
    </row>
    <row r="631" spans="1:7" ht="19.899999999999999" customHeight="1">
      <c r="A631" s="515"/>
      <c r="B631" s="478"/>
      <c r="C631" s="469"/>
      <c r="D631" s="479">
        <f t="shared" si="202"/>
        <v>0</v>
      </c>
      <c r="E631" s="472">
        <f>D631*$G$623</f>
        <v>0</v>
      </c>
      <c r="F631" s="475">
        <f>IF(C631="",0,IFERROR(VLOOKUP(COUNTIF($A$1:A631,"ANALISIS DE PRECIOS"),T_Rendimiento_Equipo,5,FALSE),0))</f>
        <v>0</v>
      </c>
      <c r="G631" s="472">
        <f t="shared" ref="G631:G638" si="203">IFERROR(ROUND(E631/F631,2),0)</f>
        <v>0</v>
      </c>
    </row>
    <row r="632" spans="1:7" ht="19.899999999999999" customHeight="1">
      <c r="A632" s="515">
        <f t="shared" si="200"/>
        <v>0</v>
      </c>
      <c r="B632" s="478">
        <f t="shared" si="201"/>
        <v>0</v>
      </c>
      <c r="C632" s="480"/>
      <c r="D632" s="479">
        <f t="shared" si="202"/>
        <v>0</v>
      </c>
      <c r="E632" s="609">
        <f>D632*$E$623</f>
        <v>0</v>
      </c>
      <c r="F632" s="475">
        <f>IF(C632="",0,IFERROR(VLOOKUP(COUNTIF($A$1:A632,"ANALISIS DE PRECIOS"),T_Rendimiento_Equipo,5,FALSE),0))</f>
        <v>0</v>
      </c>
      <c r="G632" s="472">
        <f t="shared" si="203"/>
        <v>0</v>
      </c>
    </row>
    <row r="633" spans="1:7" ht="19.899999999999999" customHeight="1">
      <c r="A633" s="515">
        <f t="shared" si="200"/>
        <v>0</v>
      </c>
      <c r="B633" s="478">
        <f t="shared" si="201"/>
        <v>0</v>
      </c>
      <c r="C633" s="480"/>
      <c r="D633" s="479">
        <f t="shared" si="202"/>
        <v>0</v>
      </c>
      <c r="E633" s="609">
        <f>D633*$E$623</f>
        <v>0</v>
      </c>
      <c r="F633" s="475">
        <f>IF(C633="",0,IFERROR(VLOOKUP(COUNTIF($A$1:A633,"ANALISIS DE PRECIOS"),T_Rendimiento_Equipo,5,FALSE),0))</f>
        <v>0</v>
      </c>
      <c r="G633" s="472">
        <f t="shared" si="203"/>
        <v>0</v>
      </c>
    </row>
    <row r="634" spans="1:7" ht="19.899999999999999" customHeight="1">
      <c r="A634" s="515">
        <f t="shared" si="200"/>
        <v>0</v>
      </c>
      <c r="B634" s="478">
        <f t="shared" si="201"/>
        <v>0</v>
      </c>
      <c r="C634" s="480"/>
      <c r="D634" s="479">
        <f t="shared" ref="D634:D638" si="204">IFERROR(VLOOKUP(C634,T_Insumos,3,FALSE),0)</f>
        <v>0</v>
      </c>
      <c r="E634" s="472"/>
      <c r="F634" s="475">
        <f>IF(C634="",0,IFERROR(VLOOKUP(COUNTIF($A$1:A634,"ANALISIS DE PRECIOS"),T_Rendimiento_Equipo,5,FALSE),0))</f>
        <v>0</v>
      </c>
      <c r="G634" s="472">
        <f t="shared" si="203"/>
        <v>0</v>
      </c>
    </row>
    <row r="635" spans="1:7" ht="19.899999999999999" customHeight="1">
      <c r="A635" s="515">
        <f t="shared" si="200"/>
        <v>0</v>
      </c>
      <c r="B635" s="478">
        <f t="shared" si="201"/>
        <v>0</v>
      </c>
      <c r="C635" s="480"/>
      <c r="D635" s="479">
        <f t="shared" si="204"/>
        <v>0</v>
      </c>
      <c r="E635" s="472"/>
      <c r="F635" s="475">
        <f>IF(C635="",0,IFERROR(VLOOKUP(COUNTIF($A$1:A635,"ANALISIS DE PRECIOS"),T_Rendimiento_Equipo,5,FALSE),0))</f>
        <v>0</v>
      </c>
      <c r="G635" s="472">
        <f t="shared" si="203"/>
        <v>0</v>
      </c>
    </row>
    <row r="636" spans="1:7" ht="19.899999999999999" customHeight="1">
      <c r="A636" s="515">
        <f t="shared" si="200"/>
        <v>0</v>
      </c>
      <c r="B636" s="478">
        <f t="shared" si="201"/>
        <v>0</v>
      </c>
      <c r="C636" s="480"/>
      <c r="D636" s="479">
        <f t="shared" si="204"/>
        <v>0</v>
      </c>
      <c r="E636" s="472"/>
      <c r="F636" s="475">
        <f>IF(C636="",0,IFERROR(VLOOKUP(COUNTIF($A$1:A636,"ANALISIS DE PRECIOS"),T_Rendimiento_Equipo,5,FALSE),0))</f>
        <v>0</v>
      </c>
      <c r="G636" s="472">
        <f t="shared" si="203"/>
        <v>0</v>
      </c>
    </row>
    <row r="637" spans="1:7" ht="19.899999999999999" customHeight="1">
      <c r="A637" s="515">
        <f t="shared" si="200"/>
        <v>0</v>
      </c>
      <c r="B637" s="478">
        <f t="shared" si="201"/>
        <v>0</v>
      </c>
      <c r="C637" s="480"/>
      <c r="D637" s="479">
        <f t="shared" si="204"/>
        <v>0</v>
      </c>
      <c r="E637" s="472"/>
      <c r="F637" s="475">
        <f>IF(C637="",0,IFERROR(VLOOKUP(COUNTIF($A$1:A637,"ANALISIS DE PRECIOS"),T_Rendimiento_Equipo,5,FALSE),0))</f>
        <v>0</v>
      </c>
      <c r="G637" s="472">
        <f t="shared" si="203"/>
        <v>0</v>
      </c>
    </row>
    <row r="638" spans="1:7" ht="19.899999999999999" customHeight="1">
      <c r="A638" s="515">
        <f t="shared" si="200"/>
        <v>0</v>
      </c>
      <c r="B638" s="478">
        <f t="shared" si="201"/>
        <v>0</v>
      </c>
      <c r="C638" s="469"/>
      <c r="D638" s="479">
        <f t="shared" si="204"/>
        <v>0</v>
      </c>
      <c r="E638" s="472"/>
      <c r="F638" s="475">
        <f>IF(C638="",0,IFERROR(VLOOKUP(COUNTIF($A$1:A638,"ANALISIS DE PRECIOS"),T_Rendimiento_Equipo,5,FALSE),0))</f>
        <v>0</v>
      </c>
      <c r="G638" s="472">
        <f t="shared" si="203"/>
        <v>0</v>
      </c>
    </row>
    <row r="639" spans="1:7" ht="19.899999999999999" customHeight="1">
      <c r="A639" s="516"/>
      <c r="B639" s="459"/>
      <c r="C639" s="163"/>
      <c r="D639" s="459"/>
      <c r="E639" s="460"/>
      <c r="F639" s="481" t="s">
        <v>26</v>
      </c>
      <c r="G639" s="517">
        <f>SUBTOTAL(9,G630:G638)</f>
        <v>0</v>
      </c>
    </row>
    <row r="640" spans="1:7" ht="19.899999999999999" customHeight="1">
      <c r="A640" s="513"/>
      <c r="B640" s="163"/>
      <c r="C640" s="455" t="s">
        <v>712</v>
      </c>
      <c r="D640" s="459"/>
      <c r="E640" s="460"/>
      <c r="F640" s="461"/>
      <c r="G640" s="514"/>
    </row>
    <row r="641" spans="1:7" ht="19.899999999999999" customHeight="1">
      <c r="A641" s="677" t="s">
        <v>575</v>
      </c>
      <c r="B641" s="678"/>
      <c r="C641" s="679" t="s">
        <v>0</v>
      </c>
      <c r="D641" s="681" t="s">
        <v>23</v>
      </c>
      <c r="E641" s="681" t="s">
        <v>1830</v>
      </c>
      <c r="F641" s="683" t="s">
        <v>1006</v>
      </c>
      <c r="G641" s="685" t="s">
        <v>25</v>
      </c>
    </row>
    <row r="642" spans="1:7" ht="19.899999999999999" customHeight="1">
      <c r="A642" s="477" t="s">
        <v>576</v>
      </c>
      <c r="B642" s="477" t="s">
        <v>577</v>
      </c>
      <c r="C642" s="680"/>
      <c r="D642" s="682"/>
      <c r="E642" s="682"/>
      <c r="F642" s="684"/>
      <c r="G642" s="686"/>
    </row>
    <row r="643" spans="1:7" ht="19.899999999999999" customHeight="1">
      <c r="A643" s="515"/>
      <c r="B643" s="478"/>
      <c r="C643" s="482"/>
      <c r="D643" s="475"/>
      <c r="E643" s="472">
        <f t="shared" ref="E643:E646" si="205">IFERROR(VLOOKUP(C643,T_Insumos,3,FALSE),0)</f>
        <v>0</v>
      </c>
      <c r="F643" s="475">
        <f>IF(C643="",0,IFERROR(VLOOKUP(COUNTIF($A$1:A643,"ANALISIS DE PRECIOS"),T_Rendimiento_Equipo,5,FALSE),0))</f>
        <v>0</v>
      </c>
      <c r="G643" s="472">
        <f>IFERROR(ROUND(D643*E643/F643,2),0)</f>
        <v>0</v>
      </c>
    </row>
    <row r="644" spans="1:7" ht="19.899999999999999" customHeight="1">
      <c r="A644" s="515"/>
      <c r="B644" s="478"/>
      <c r="C644" s="469"/>
      <c r="D644" s="475"/>
      <c r="E644" s="472">
        <f t="shared" si="205"/>
        <v>0</v>
      </c>
      <c r="F644" s="475">
        <f>IF(C644="",0,IFERROR(VLOOKUP(COUNTIF($A$1:A644,"ANALISIS DE PRECIOS"),T_Rendimiento_Equipo,5,FALSE),0))</f>
        <v>0</v>
      </c>
      <c r="G644" s="472">
        <f t="shared" ref="G644:G649" si="206">IFERROR(ROUND(D644*E644/F644,2),0)</f>
        <v>0</v>
      </c>
    </row>
    <row r="645" spans="1:7" ht="19.899999999999999" customHeight="1">
      <c r="A645" s="515"/>
      <c r="B645" s="478"/>
      <c r="C645" s="469"/>
      <c r="D645" s="475"/>
      <c r="E645" s="472">
        <f t="shared" si="205"/>
        <v>0</v>
      </c>
      <c r="F645" s="475">
        <f>IF(C645="",0,IFERROR(VLOOKUP(COUNTIF($A$1:A645,"ANALISIS DE PRECIOS"),T_Rendimiento_Equipo,5,FALSE),0))</f>
        <v>0</v>
      </c>
      <c r="G645" s="472">
        <f t="shared" si="206"/>
        <v>0</v>
      </c>
    </row>
    <row r="646" spans="1:7" ht="19.899999999999999" customHeight="1">
      <c r="A646" s="515"/>
      <c r="B646" s="478"/>
      <c r="C646" s="469"/>
      <c r="D646" s="475"/>
      <c r="E646" s="472">
        <f t="shared" si="205"/>
        <v>0</v>
      </c>
      <c r="F646" s="475">
        <f>IF(C646="",0,IFERROR(VLOOKUP(COUNTIF($A$1:A646,"ANALISIS DE PRECIOS"),T_Rendimiento_Equipo,5,FALSE),0))</f>
        <v>0</v>
      </c>
      <c r="G646" s="472">
        <f t="shared" si="206"/>
        <v>0</v>
      </c>
    </row>
    <row r="647" spans="1:7" ht="19.899999999999999" customHeight="1">
      <c r="A647" s="515">
        <f t="shared" ref="A647:A649" si="207">IFERROR(VLOOKUP(C647,T_Insumos,4,FALSE),0)</f>
        <v>0</v>
      </c>
      <c r="B647" s="478">
        <f t="shared" ref="B647:B649" si="208">IFERROR(VLOOKUP(C647,T_Insumos,5,FALSE),0)</f>
        <v>0</v>
      </c>
      <c r="C647" s="469"/>
      <c r="D647" s="475"/>
      <c r="E647" s="472">
        <f t="shared" ref="E647:E649" si="209">IFERROR(VLOOKUP(C647,T_Insumos,3,FALSE),0)</f>
        <v>0</v>
      </c>
      <c r="F647" s="475">
        <f>IF(C647="",0,IFERROR(VLOOKUP(COUNTIF($A$1:A647,"ANALISIS DE PRECIOS"),T_Rendimiento_Equipo,5,FALSE),0))</f>
        <v>0</v>
      </c>
      <c r="G647" s="472">
        <f t="shared" si="206"/>
        <v>0</v>
      </c>
    </row>
    <row r="648" spans="1:7" ht="19.899999999999999" customHeight="1">
      <c r="A648" s="515">
        <f t="shared" si="207"/>
        <v>0</v>
      </c>
      <c r="B648" s="478">
        <f t="shared" si="208"/>
        <v>0</v>
      </c>
      <c r="C648" s="469"/>
      <c r="D648" s="483"/>
      <c r="E648" s="472">
        <f>SUMPRODUCT(D643:D646,E643:E646)</f>
        <v>0</v>
      </c>
      <c r="F648" s="475">
        <f>IF(C648="",0,IFERROR(VLOOKUP(COUNTIF($A$1:A648,"ANALISIS DE PRECIOS"),T_Rendimiento_Equipo,5,FALSE),0))</f>
        <v>0</v>
      </c>
      <c r="G648" s="472">
        <f t="shared" si="206"/>
        <v>0</v>
      </c>
    </row>
    <row r="649" spans="1:7" ht="19.899999999999999" customHeight="1">
      <c r="A649" s="515">
        <f t="shared" si="207"/>
        <v>0</v>
      </c>
      <c r="B649" s="478">
        <f t="shared" si="208"/>
        <v>0</v>
      </c>
      <c r="C649" s="478"/>
      <c r="D649" s="484"/>
      <c r="E649" s="472">
        <f t="shared" si="209"/>
        <v>0</v>
      </c>
      <c r="F649" s="475">
        <f>IF(C649="",0,IFERROR(VLOOKUP(COUNTIF($A$1:A649,"ANALISIS DE PRECIOS"),T_Rendimiento_Equipo,5,FALSE),0))</f>
        <v>0</v>
      </c>
      <c r="G649" s="472">
        <f t="shared" si="206"/>
        <v>0</v>
      </c>
    </row>
    <row r="650" spans="1:7" ht="19.899999999999999" customHeight="1">
      <c r="A650" s="516"/>
      <c r="B650" s="459"/>
      <c r="C650" s="163"/>
      <c r="D650" s="459"/>
      <c r="E650" s="460"/>
      <c r="F650" s="481" t="s">
        <v>27</v>
      </c>
      <c r="G650" s="518">
        <f>SUBTOTAL(9,G643:G649)</f>
        <v>0</v>
      </c>
    </row>
    <row r="651" spans="1:7" ht="19.899999999999999" customHeight="1">
      <c r="A651" s="513"/>
      <c r="B651" s="163"/>
      <c r="C651" s="455" t="s">
        <v>1013</v>
      </c>
      <c r="D651" s="459"/>
      <c r="E651" s="460"/>
      <c r="F651" s="461"/>
      <c r="G651" s="514"/>
    </row>
    <row r="652" spans="1:7" ht="19.899999999999999" customHeight="1">
      <c r="A652" s="677" t="s">
        <v>575</v>
      </c>
      <c r="B652" s="678"/>
      <c r="C652" s="679" t="s">
        <v>0</v>
      </c>
      <c r="D652" s="679" t="s">
        <v>1865</v>
      </c>
      <c r="E652" s="681" t="s">
        <v>23</v>
      </c>
      <c r="F652" s="683" t="s">
        <v>24</v>
      </c>
      <c r="G652" s="685" t="s">
        <v>25</v>
      </c>
    </row>
    <row r="653" spans="1:7" ht="19.899999999999999" customHeight="1">
      <c r="A653" s="477" t="s">
        <v>576</v>
      </c>
      <c r="B653" s="477" t="s">
        <v>577</v>
      </c>
      <c r="C653" s="680"/>
      <c r="D653" s="680"/>
      <c r="E653" s="682"/>
      <c r="F653" s="684"/>
      <c r="G653" s="686"/>
    </row>
    <row r="654" spans="1:7" ht="19.899999999999999" customHeight="1">
      <c r="A654" s="515">
        <f t="shared" ref="A654:A655" si="210">IFERROR(VLOOKUP(C654,T_Insumos,4,FALSE),0)</f>
        <v>0</v>
      </c>
      <c r="B654" s="478">
        <f t="shared" ref="B654:B655" si="211">IFERROR(VLOOKUP(C654,T_Insumos,5,FALSE),0)</f>
        <v>0</v>
      </c>
      <c r="C654" s="478"/>
      <c r="D654" s="526"/>
      <c r="E654" s="470"/>
      <c r="F654" s="472">
        <f t="shared" ref="F654:F657" si="212">IFERROR(VLOOKUP(C654,T_Insumos,3,FALSE),0)</f>
        <v>0</v>
      </c>
      <c r="G654" s="472">
        <f>ROUND(E654*F654,2)</f>
        <v>0</v>
      </c>
    </row>
    <row r="655" spans="1:7" s="485" customFormat="1" ht="19.899999999999999" customHeight="1">
      <c r="A655" s="515">
        <f t="shared" si="210"/>
        <v>0</v>
      </c>
      <c r="B655" s="478">
        <f t="shared" si="211"/>
        <v>0</v>
      </c>
      <c r="C655" s="478"/>
      <c r="D655" s="526"/>
      <c r="E655" s="470"/>
      <c r="F655" s="472">
        <f t="shared" si="212"/>
        <v>0</v>
      </c>
      <c r="G655" s="472">
        <f t="shared" ref="G655:G664" si="213">ROUND(E655*F655,2)</f>
        <v>0</v>
      </c>
    </row>
    <row r="656" spans="1:7" ht="19.899999999999999" customHeight="1">
      <c r="A656" s="515">
        <f t="shared" ref="A656:A664" si="214">IFERROR(VLOOKUP(C656,T_Insumos,4,FALSE),0)</f>
        <v>0</v>
      </c>
      <c r="B656" s="478">
        <f t="shared" ref="B656:B664" si="215">IFERROR(VLOOKUP(C656,T_Insumos,5,FALSE),0)</f>
        <v>0</v>
      </c>
      <c r="C656" s="478"/>
      <c r="D656" s="526"/>
      <c r="E656" s="470"/>
      <c r="F656" s="472">
        <f t="shared" si="212"/>
        <v>0</v>
      </c>
      <c r="G656" s="472">
        <f t="shared" si="213"/>
        <v>0</v>
      </c>
    </row>
    <row r="657" spans="1:8" ht="19.899999999999999" customHeight="1">
      <c r="A657" s="515">
        <f t="shared" si="214"/>
        <v>0</v>
      </c>
      <c r="B657" s="478">
        <f t="shared" si="215"/>
        <v>0</v>
      </c>
      <c r="C657" s="478"/>
      <c r="D657" s="526"/>
      <c r="E657" s="470"/>
      <c r="F657" s="472">
        <f t="shared" si="212"/>
        <v>0</v>
      </c>
      <c r="G657" s="472">
        <f t="shared" si="213"/>
        <v>0</v>
      </c>
    </row>
    <row r="658" spans="1:8" ht="19.899999999999999" customHeight="1">
      <c r="A658" s="515">
        <f t="shared" si="214"/>
        <v>0</v>
      </c>
      <c r="B658" s="478">
        <f t="shared" si="215"/>
        <v>0</v>
      </c>
      <c r="C658" s="478"/>
      <c r="D658" s="526">
        <f t="shared" ref="D658:D664" si="216">IFERROR(VLOOKUP(C658,T_Insumos,2,FALSE),0)</f>
        <v>0</v>
      </c>
      <c r="E658" s="470"/>
      <c r="F658" s="472">
        <f t="shared" ref="F658:F664" si="217">IFERROR(VLOOKUP(C658,T_Insumos,3,FALSE),0)</f>
        <v>0</v>
      </c>
      <c r="G658" s="472">
        <f t="shared" si="213"/>
        <v>0</v>
      </c>
    </row>
    <row r="659" spans="1:8" ht="19.899999999999999" customHeight="1">
      <c r="A659" s="515">
        <f t="shared" si="214"/>
        <v>0</v>
      </c>
      <c r="B659" s="478">
        <f t="shared" si="215"/>
        <v>0</v>
      </c>
      <c r="C659" s="478"/>
      <c r="D659" s="526">
        <f t="shared" si="216"/>
        <v>0</v>
      </c>
      <c r="E659" s="470"/>
      <c r="F659" s="472">
        <f t="shared" si="217"/>
        <v>0</v>
      </c>
      <c r="G659" s="472">
        <f t="shared" si="213"/>
        <v>0</v>
      </c>
    </row>
    <row r="660" spans="1:8" ht="19.899999999999999" customHeight="1">
      <c r="A660" s="515">
        <f t="shared" si="214"/>
        <v>0</v>
      </c>
      <c r="B660" s="478">
        <f t="shared" si="215"/>
        <v>0</v>
      </c>
      <c r="C660" s="478"/>
      <c r="D660" s="526">
        <f t="shared" si="216"/>
        <v>0</v>
      </c>
      <c r="E660" s="470"/>
      <c r="F660" s="472">
        <f t="shared" si="217"/>
        <v>0</v>
      </c>
      <c r="G660" s="472">
        <f t="shared" si="213"/>
        <v>0</v>
      </c>
    </row>
    <row r="661" spans="1:8" ht="19.899999999999999" customHeight="1">
      <c r="A661" s="515">
        <f t="shared" si="214"/>
        <v>0</v>
      </c>
      <c r="B661" s="478">
        <f t="shared" si="215"/>
        <v>0</v>
      </c>
      <c r="C661" s="478"/>
      <c r="D661" s="526">
        <f t="shared" si="216"/>
        <v>0</v>
      </c>
      <c r="E661" s="470"/>
      <c r="F661" s="472">
        <f t="shared" si="217"/>
        <v>0</v>
      </c>
      <c r="G661" s="472">
        <f t="shared" si="213"/>
        <v>0</v>
      </c>
    </row>
    <row r="662" spans="1:8" ht="19.899999999999999" customHeight="1">
      <c r="A662" s="515">
        <f t="shared" si="214"/>
        <v>0</v>
      </c>
      <c r="B662" s="478">
        <f t="shared" si="215"/>
        <v>0</v>
      </c>
      <c r="C662" s="478"/>
      <c r="D662" s="526">
        <f t="shared" si="216"/>
        <v>0</v>
      </c>
      <c r="E662" s="470"/>
      <c r="F662" s="472">
        <f t="shared" si="217"/>
        <v>0</v>
      </c>
      <c r="G662" s="472">
        <f t="shared" si="213"/>
        <v>0</v>
      </c>
    </row>
    <row r="663" spans="1:8" ht="19.899999999999999" customHeight="1">
      <c r="A663" s="515">
        <f t="shared" si="214"/>
        <v>0</v>
      </c>
      <c r="B663" s="478">
        <f t="shared" si="215"/>
        <v>0</v>
      </c>
      <c r="C663" s="478"/>
      <c r="D663" s="526">
        <f t="shared" si="216"/>
        <v>0</v>
      </c>
      <c r="E663" s="470"/>
      <c r="F663" s="472">
        <f t="shared" si="217"/>
        <v>0</v>
      </c>
      <c r="G663" s="472">
        <f t="shared" si="213"/>
        <v>0</v>
      </c>
    </row>
    <row r="664" spans="1:8" ht="19.899999999999999" customHeight="1">
      <c r="A664" s="515">
        <f t="shared" si="214"/>
        <v>0</v>
      </c>
      <c r="B664" s="478">
        <f t="shared" si="215"/>
        <v>0</v>
      </c>
      <c r="C664" s="478"/>
      <c r="D664" s="526">
        <f t="shared" si="216"/>
        <v>0</v>
      </c>
      <c r="E664" s="470"/>
      <c r="F664" s="472">
        <f t="shared" si="217"/>
        <v>0</v>
      </c>
      <c r="G664" s="472">
        <f t="shared" si="213"/>
        <v>0</v>
      </c>
    </row>
    <row r="665" spans="1:8" ht="19.899999999999999" customHeight="1">
      <c r="A665" s="513"/>
      <c r="B665" s="163"/>
      <c r="C665" s="163"/>
      <c r="D665" s="459"/>
      <c r="E665" s="460"/>
      <c r="F665" s="481" t="s">
        <v>28</v>
      </c>
      <c r="G665" s="518">
        <f>SUBTOTAL(9,G654:G664)</f>
        <v>0</v>
      </c>
    </row>
    <row r="666" spans="1:8" ht="19.899999999999999" customHeight="1">
      <c r="A666" s="513"/>
      <c r="B666" s="163"/>
      <c r="C666" s="455" t="s">
        <v>1014</v>
      </c>
      <c r="D666" s="459"/>
      <c r="E666" s="460"/>
      <c r="F666" s="461"/>
      <c r="G666" s="514"/>
    </row>
    <row r="667" spans="1:8" ht="19.899999999999999" customHeight="1">
      <c r="A667" s="677" t="s">
        <v>575</v>
      </c>
      <c r="B667" s="678"/>
      <c r="C667" s="679" t="s">
        <v>0</v>
      </c>
      <c r="D667" s="679" t="s">
        <v>1865</v>
      </c>
      <c r="E667" s="681" t="s">
        <v>23</v>
      </c>
      <c r="F667" s="683" t="s">
        <v>24</v>
      </c>
      <c r="G667" s="685" t="s">
        <v>25</v>
      </c>
    </row>
    <row r="668" spans="1:8" ht="19.899999999999999" customHeight="1">
      <c r="A668" s="477" t="s">
        <v>576</v>
      </c>
      <c r="B668" s="477" t="s">
        <v>577</v>
      </c>
      <c r="C668" s="680"/>
      <c r="D668" s="680"/>
      <c r="E668" s="682"/>
      <c r="F668" s="684"/>
      <c r="G668" s="686"/>
    </row>
    <row r="669" spans="1:8" ht="19.899999999999999" customHeight="1">
      <c r="A669" s="515">
        <f>IFERROR(VLOOKUP(C669,T_Insumos,4,FALSE),0)</f>
        <v>0</v>
      </c>
      <c r="B669" s="478">
        <f>IFERROR(VLOOKUP(C669,T_Insumos,5,FALSE),0)</f>
        <v>0</v>
      </c>
      <c r="C669" s="469"/>
      <c r="D669" s="526">
        <f>IF(C669=0,0,"$/tnkm")</f>
        <v>0</v>
      </c>
      <c r="E669" s="470"/>
      <c r="F669" s="472">
        <f>IFERROR(VLOOKUP(C669,T_Insumos,3,FALSE),0)</f>
        <v>0</v>
      </c>
      <c r="G669" s="472">
        <f>ROUND(E669*F669,2)</f>
        <v>0</v>
      </c>
    </row>
    <row r="670" spans="1:8" ht="19.899999999999999" customHeight="1">
      <c r="A670" s="515">
        <f>IFERROR(VLOOKUP(C670,T_Insumos,4,FALSE),0)</f>
        <v>0</v>
      </c>
      <c r="B670" s="478">
        <f>IFERROR(VLOOKUP(C670,T_Insumos,5,FALSE),0)</f>
        <v>0</v>
      </c>
      <c r="C670" s="469"/>
      <c r="D670" s="526">
        <f>IF(C670=0,0,"$/tnkm")</f>
        <v>0</v>
      </c>
      <c r="E670" s="486"/>
      <c r="F670" s="472">
        <f>IFERROR(VLOOKUP(C670,T_Insumos,3,FALSE),0)</f>
        <v>0</v>
      </c>
      <c r="G670" s="472">
        <f t="shared" ref="G670" si="218">ROUND(E670*F670,2)</f>
        <v>0</v>
      </c>
    </row>
    <row r="671" spans="1:8" ht="19.899999999999999" customHeight="1">
      <c r="A671" s="513"/>
      <c r="B671" s="163"/>
      <c r="C671" s="163"/>
      <c r="D671" s="459"/>
      <c r="E671" s="460"/>
      <c r="F671" s="481" t="s">
        <v>1015</v>
      </c>
      <c r="G671" s="518">
        <f>SUBTOTAL(9,G669:G670)</f>
        <v>0</v>
      </c>
      <c r="H671" s="60"/>
    </row>
    <row r="672" spans="1:8" ht="19.899999999999999" customHeight="1">
      <c r="A672" s="516"/>
      <c r="B672" s="459"/>
      <c r="C672" s="163"/>
      <c r="D672" s="459"/>
      <c r="E672" s="460"/>
      <c r="F672" s="461"/>
      <c r="G672" s="514"/>
      <c r="H672" s="60"/>
    </row>
    <row r="673" spans="1:8" ht="19.899999999999999" customHeight="1">
      <c r="A673" s="574" t="str">
        <f>B607</f>
        <v>3.3.2</v>
      </c>
      <c r="B673" s="571" t="str">
        <f ca="1">C607</f>
        <v>Motorizacion/Electrificacion obra de toma</v>
      </c>
      <c r="C673" s="459"/>
      <c r="D673" s="459" t="s">
        <v>1831</v>
      </c>
      <c r="E673" s="572"/>
      <c r="F673" s="573" t="str">
        <f ca="1">"$/"&amp;G607</f>
        <v>$/gl.</v>
      </c>
      <c r="G673" s="523">
        <f>SUBTOTAL(9,G630:G672)</f>
        <v>0</v>
      </c>
      <c r="H673" s="60"/>
    </row>
    <row r="674" spans="1:8" ht="19.899999999999999" customHeight="1">
      <c r="A674" s="519"/>
      <c r="B674" s="520"/>
      <c r="C674" s="521"/>
      <c r="D674" s="521" t="s">
        <v>2041</v>
      </c>
      <c r="E674" s="522"/>
      <c r="F674" s="575" t="str">
        <f ca="1">"$/"&amp;G607</f>
        <v>$/gl.</v>
      </c>
      <c r="G674" s="523">
        <f>ROUND(G673*Coeficiente_Paso,2)</f>
        <v>0</v>
      </c>
      <c r="H674" s="60"/>
    </row>
    <row r="675" spans="1:8" ht="19.899999999999999" customHeight="1">
      <c r="A675" s="163"/>
      <c r="B675" s="163"/>
      <c r="C675" s="163"/>
      <c r="D675" s="163"/>
      <c r="E675" s="163"/>
      <c r="F675" s="163"/>
      <c r="G675" s="163"/>
      <c r="H675" s="60"/>
    </row>
    <row r="676" spans="1:8" ht="19.899999999999999" customHeight="1">
      <c r="A676" s="687" t="s">
        <v>30</v>
      </c>
      <c r="B676" s="688"/>
      <c r="C676" s="688"/>
      <c r="D676" s="688"/>
      <c r="E676" s="688"/>
      <c r="F676" s="688"/>
      <c r="G676" s="689"/>
    </row>
    <row r="677" spans="1:8" ht="19.899999999999999" customHeight="1">
      <c r="A677" s="502" t="s">
        <v>710</v>
      </c>
      <c r="B677" s="453" t="str">
        <f>Comitente</f>
        <v>DEPARTAMENTO DE HIDRAULICA</v>
      </c>
      <c r="C677" s="454"/>
      <c r="D677" s="455"/>
      <c r="E677" s="455"/>
      <c r="F677" s="456"/>
      <c r="G677" s="503"/>
    </row>
    <row r="678" spans="1:8" ht="19.899999999999999" customHeight="1">
      <c r="A678" s="502" t="s">
        <v>711</v>
      </c>
      <c r="B678" s="453">
        <f>Contratista</f>
        <v>0</v>
      </c>
      <c r="C678" s="457"/>
      <c r="D678" s="457"/>
      <c r="E678" s="457"/>
      <c r="F678" s="453"/>
      <c r="G678" s="504"/>
    </row>
    <row r="679" spans="1:8" ht="19.899999999999999" customHeight="1">
      <c r="A679" s="502" t="s">
        <v>20</v>
      </c>
      <c r="B679" s="453" t="str">
        <f>Obra</f>
        <v>MEJORA DE LA RED DE RIEGO DEL VALLE DE JÁCHAL</v>
      </c>
      <c r="C679" s="457"/>
      <c r="D679" s="457"/>
      <c r="E679" s="457"/>
      <c r="F679" s="453" t="s">
        <v>31</v>
      </c>
      <c r="G679" s="504" t="str">
        <f>Fecha_Base</f>
        <v>XX/07/2020</v>
      </c>
    </row>
    <row r="680" spans="1:8" ht="19.899999999999999" customHeight="1">
      <c r="A680" s="505" t="s">
        <v>709</v>
      </c>
      <c r="B680" s="458" t="str">
        <f>Ubicación</f>
        <v>JACHAL</v>
      </c>
      <c r="C680" s="458"/>
      <c r="D680" s="459"/>
      <c r="E680" s="460"/>
      <c r="F680" s="461"/>
      <c r="G680" s="506"/>
    </row>
    <row r="681" spans="1:8" ht="19.899999999999999" customHeight="1">
      <c r="A681" s="505" t="s">
        <v>32</v>
      </c>
      <c r="B681" s="462">
        <f>IFERROR(VALUE(LEFT(B682,FIND(".",B682)-1)),"")</f>
        <v>3</v>
      </c>
      <c r="C681" s="163" t="str">
        <f ca="1">IFERROR(VLOOKUP(B681,T_Computo_Presupuesto,2,FALSE),0)</f>
        <v>AZUD PACHIMOCO</v>
      </c>
      <c r="D681" s="163"/>
      <c r="E681" s="460"/>
      <c r="F681" s="461"/>
      <c r="G681" s="506"/>
    </row>
    <row r="682" spans="1:8" ht="19.899999999999999" customHeight="1">
      <c r="A682" s="505" t="s">
        <v>21</v>
      </c>
      <c r="B682" s="463" t="str">
        <f>IFERROR(VLOOKUP(COUNTIF($A$1:A682,"ANALISIS DE PRECIOS"),T_NumeroItem,2,FALSE),"")</f>
        <v>3.4.1</v>
      </c>
      <c r="C682" s="690" t="str">
        <f ca="1">IFERROR(VLOOKUP(B682,T_Computo_Presupuesto,2,FALSE),0)</f>
        <v>Reacondicionamiento pasarela</v>
      </c>
      <c r="D682" s="690"/>
      <c r="E682" s="690"/>
      <c r="F682" s="458" t="s">
        <v>22</v>
      </c>
      <c r="G682" s="507" t="str">
        <f ca="1">IFERROR(VLOOKUP(B682,T_Computo_Presupuesto,4,FALSE),0)</f>
        <v>gl.</v>
      </c>
    </row>
    <row r="683" spans="1:8" ht="19.899999999999999" customHeight="1">
      <c r="A683" s="505"/>
      <c r="B683" s="458"/>
      <c r="C683" s="163"/>
      <c r="D683" s="459"/>
      <c r="E683" s="460"/>
      <c r="F683" s="163"/>
      <c r="G683" s="508"/>
    </row>
    <row r="684" spans="1:8" ht="19.899999999999999" customHeight="1">
      <c r="A684" s="509"/>
      <c r="B684" s="464"/>
      <c r="C684" s="465" t="s">
        <v>998</v>
      </c>
      <c r="D684" s="464"/>
      <c r="E684" s="464"/>
      <c r="F684" s="464"/>
      <c r="G684" s="510"/>
    </row>
    <row r="685" spans="1:8" ht="19.899999999999999" customHeight="1">
      <c r="A685" s="505"/>
      <c r="B685" s="466"/>
      <c r="C685" s="163"/>
      <c r="D685" s="459"/>
      <c r="E685" s="460"/>
      <c r="F685" s="458"/>
      <c r="G685" s="507"/>
    </row>
    <row r="686" spans="1:8" ht="19.899999999999999" customHeight="1">
      <c r="A686" s="505"/>
      <c r="B686" s="466"/>
      <c r="C686" s="467" t="s">
        <v>999</v>
      </c>
      <c r="D686" s="468" t="s">
        <v>23</v>
      </c>
      <c r="E686" s="468" t="s">
        <v>1000</v>
      </c>
      <c r="F686" s="468" t="s">
        <v>1001</v>
      </c>
      <c r="G686" s="467" t="s">
        <v>1002</v>
      </c>
    </row>
    <row r="687" spans="1:8" ht="19.899999999999999" customHeight="1">
      <c r="A687" s="505"/>
      <c r="B687" s="466"/>
      <c r="C687" s="469"/>
      <c r="D687" s="470"/>
      <c r="E687" s="471">
        <f t="shared" ref="E687:E690" si="219">IFERROR(VLOOKUP(C687,T_Equipos,4,FALSE),0)</f>
        <v>0</v>
      </c>
      <c r="F687" s="472">
        <f t="shared" ref="F687:F690" si="220">IFERROR(VLOOKUP(C687,T_Equipos,5,FALSE),0)</f>
        <v>0</v>
      </c>
      <c r="G687" s="472">
        <f>ROUND(D687*F687,2)</f>
        <v>0</v>
      </c>
    </row>
    <row r="688" spans="1:8" ht="19.899999999999999" customHeight="1">
      <c r="A688" s="505"/>
      <c r="B688" s="466"/>
      <c r="C688" s="469"/>
      <c r="D688" s="470"/>
      <c r="E688" s="471">
        <f t="shared" si="219"/>
        <v>0</v>
      </c>
      <c r="F688" s="472">
        <f t="shared" si="220"/>
        <v>0</v>
      </c>
      <c r="G688" s="472">
        <f>ROUND(D688*F688,2)</f>
        <v>0</v>
      </c>
    </row>
    <row r="689" spans="1:7" ht="19.899999999999999" customHeight="1">
      <c r="A689" s="505"/>
      <c r="B689" s="466"/>
      <c r="C689" s="469"/>
      <c r="D689" s="470"/>
      <c r="E689" s="471">
        <f t="shared" si="219"/>
        <v>0</v>
      </c>
      <c r="F689" s="472">
        <f t="shared" si="220"/>
        <v>0</v>
      </c>
      <c r="G689" s="472">
        <f>ROUND(D689*F689,2)</f>
        <v>0</v>
      </c>
    </row>
    <row r="690" spans="1:7" ht="19.899999999999999" customHeight="1">
      <c r="A690" s="505"/>
      <c r="B690" s="466"/>
      <c r="C690" s="469"/>
      <c r="D690" s="470"/>
      <c r="E690" s="471">
        <f t="shared" si="219"/>
        <v>0</v>
      </c>
      <c r="F690" s="472">
        <f t="shared" si="220"/>
        <v>0</v>
      </c>
      <c r="G690" s="472">
        <f>ROUND(D690*F690,2)</f>
        <v>0</v>
      </c>
    </row>
    <row r="691" spans="1:7" ht="19.899999999999999" customHeight="1">
      <c r="A691" s="505"/>
      <c r="B691" s="466"/>
      <c r="C691" s="469"/>
      <c r="D691" s="470"/>
      <c r="E691" s="471">
        <f t="shared" ref="E691:E696" si="221">IFERROR(VLOOKUP(C691,T_Equipos,4,FALSE),0)</f>
        <v>0</v>
      </c>
      <c r="F691" s="472">
        <f t="shared" ref="F691:F696" si="222">IFERROR(VLOOKUP(C691,T_Equipos,5,FALSE),0)</f>
        <v>0</v>
      </c>
      <c r="G691" s="472">
        <f t="shared" ref="G691:G696" si="223">ROUND(D691*F691,2)</f>
        <v>0</v>
      </c>
    </row>
    <row r="692" spans="1:7" ht="19.899999999999999" customHeight="1">
      <c r="A692" s="505"/>
      <c r="B692" s="466"/>
      <c r="C692" s="469"/>
      <c r="D692" s="470"/>
      <c r="E692" s="471">
        <f t="shared" si="221"/>
        <v>0</v>
      </c>
      <c r="F692" s="472">
        <f t="shared" si="222"/>
        <v>0</v>
      </c>
      <c r="G692" s="472">
        <f t="shared" si="223"/>
        <v>0</v>
      </c>
    </row>
    <row r="693" spans="1:7" ht="19.899999999999999" customHeight="1">
      <c r="A693" s="505"/>
      <c r="B693" s="466"/>
      <c r="C693" s="469"/>
      <c r="D693" s="470"/>
      <c r="E693" s="471">
        <f t="shared" si="221"/>
        <v>0</v>
      </c>
      <c r="F693" s="472">
        <f t="shared" si="222"/>
        <v>0</v>
      </c>
      <c r="G693" s="472">
        <f t="shared" si="223"/>
        <v>0</v>
      </c>
    </row>
    <row r="694" spans="1:7" ht="19.899999999999999" customHeight="1">
      <c r="A694" s="505"/>
      <c r="B694" s="466"/>
      <c r="C694" s="469"/>
      <c r="D694" s="470"/>
      <c r="E694" s="471">
        <f t="shared" si="221"/>
        <v>0</v>
      </c>
      <c r="F694" s="472">
        <f t="shared" si="222"/>
        <v>0</v>
      </c>
      <c r="G694" s="472">
        <f t="shared" si="223"/>
        <v>0</v>
      </c>
    </row>
    <row r="695" spans="1:7" ht="19.899999999999999" customHeight="1">
      <c r="A695" s="505"/>
      <c r="B695" s="466"/>
      <c r="C695" s="469"/>
      <c r="D695" s="470"/>
      <c r="E695" s="471">
        <f t="shared" si="221"/>
        <v>0</v>
      </c>
      <c r="F695" s="472">
        <f t="shared" si="222"/>
        <v>0</v>
      </c>
      <c r="G695" s="472">
        <f t="shared" si="223"/>
        <v>0</v>
      </c>
    </row>
    <row r="696" spans="1:7" ht="19.899999999999999" customHeight="1">
      <c r="A696" s="505"/>
      <c r="B696" s="466"/>
      <c r="C696" s="469"/>
      <c r="D696" s="470"/>
      <c r="E696" s="471">
        <f t="shared" si="221"/>
        <v>0</v>
      </c>
      <c r="F696" s="472">
        <f t="shared" si="222"/>
        <v>0</v>
      </c>
      <c r="G696" s="472">
        <f t="shared" si="223"/>
        <v>0</v>
      </c>
    </row>
    <row r="697" spans="1:7" ht="19.899999999999999" customHeight="1">
      <c r="A697" s="505"/>
      <c r="B697" s="466"/>
      <c r="C697" s="163"/>
      <c r="D697" s="163"/>
      <c r="E697" s="473"/>
      <c r="F697" s="458"/>
      <c r="G697" s="507"/>
    </row>
    <row r="698" spans="1:7" ht="19.899999999999999" customHeight="1">
      <c r="A698" s="505"/>
      <c r="B698" s="163"/>
      <c r="C698" s="455" t="s">
        <v>1003</v>
      </c>
      <c r="D698" s="458" t="s">
        <v>1000</v>
      </c>
      <c r="E698" s="524">
        <f>SUMPRODUCT(D687:D696,E687:E696)</f>
        <v>0</v>
      </c>
      <c r="F698" s="458" t="s">
        <v>1004</v>
      </c>
      <c r="G698" s="525">
        <f>SUM(G687:G696)</f>
        <v>0</v>
      </c>
    </row>
    <row r="699" spans="1:7" ht="19.899999999999999" customHeight="1">
      <c r="A699" s="505"/>
      <c r="B699" s="466"/>
      <c r="C699" s="474"/>
      <c r="D699" s="473"/>
      <c r="E699" s="460"/>
      <c r="F699" s="458"/>
      <c r="G699" s="511"/>
    </row>
    <row r="700" spans="1:7" ht="19.899999999999999" customHeight="1">
      <c r="A700" s="512"/>
      <c r="B700" s="466"/>
      <c r="C700" s="458" t="s">
        <v>1005</v>
      </c>
      <c r="D700" s="475"/>
      <c r="E700" s="476" t="str">
        <f ca="1">G682&amp;"/día"</f>
        <v>gl./día</v>
      </c>
      <c r="F700" s="452"/>
      <c r="G700" s="507"/>
    </row>
    <row r="701" spans="1:7" ht="19.899999999999999" customHeight="1">
      <c r="A701" s="505"/>
      <c r="B701" s="466"/>
      <c r="C701" s="163"/>
      <c r="D701" s="459"/>
      <c r="E701" s="460"/>
      <c r="F701" s="458"/>
      <c r="G701" s="507"/>
    </row>
    <row r="702" spans="1:7" ht="19.899999999999999" customHeight="1">
      <c r="A702" s="677" t="s">
        <v>575</v>
      </c>
      <c r="B702" s="678"/>
      <c r="C702" s="679" t="s">
        <v>0</v>
      </c>
      <c r="D702" s="691" t="s">
        <v>1864</v>
      </c>
      <c r="E702" s="691" t="s">
        <v>1863</v>
      </c>
      <c r="F702" s="683" t="s">
        <v>1006</v>
      </c>
      <c r="G702" s="685" t="s">
        <v>25</v>
      </c>
    </row>
    <row r="703" spans="1:7" ht="19.899999999999999" customHeight="1">
      <c r="A703" s="477" t="s">
        <v>576</v>
      </c>
      <c r="B703" s="477" t="s">
        <v>577</v>
      </c>
      <c r="C703" s="680"/>
      <c r="D703" s="692"/>
      <c r="E703" s="682"/>
      <c r="F703" s="684"/>
      <c r="G703" s="686"/>
    </row>
    <row r="704" spans="1:7" ht="19.899999999999999" customHeight="1">
      <c r="A704" s="513"/>
      <c r="B704" s="163"/>
      <c r="C704" s="455" t="s">
        <v>1007</v>
      </c>
      <c r="D704" s="460"/>
      <c r="E704" s="460"/>
      <c r="F704" s="163"/>
      <c r="G704" s="514"/>
    </row>
    <row r="705" spans="1:7" ht="19.899999999999999" customHeight="1">
      <c r="A705" s="515">
        <f t="shared" ref="A705:A713" si="224">IFERROR(VLOOKUP(C705,T_Insumos,4,FALSE),0)</f>
        <v>0</v>
      </c>
      <c r="B705" s="478">
        <f t="shared" ref="B705:B713" si="225">IFERROR(VLOOKUP(C705,T_Insumos,5,FALSE),0)</f>
        <v>0</v>
      </c>
      <c r="C705" s="469"/>
      <c r="D705" s="479">
        <f t="shared" ref="D705:D708" si="226">IFERROR(VLOOKUP(C705,T_Insumos,3,FALSE),0)</f>
        <v>0</v>
      </c>
      <c r="E705" s="472">
        <f>D705*$G$698</f>
        <v>0</v>
      </c>
      <c r="F705" s="475">
        <f>IF(C705="",0,IFERROR(VLOOKUP(COUNTIF($A$1:A705,"ANALISIS DE PRECIOS"),T_Rendimiento_Equipo,5,FALSE),0))</f>
        <v>0</v>
      </c>
      <c r="G705" s="472">
        <f>IFERROR(ROUND(E705/F705,2),0)</f>
        <v>0</v>
      </c>
    </row>
    <row r="706" spans="1:7" ht="19.899999999999999" customHeight="1">
      <c r="A706" s="515"/>
      <c r="B706" s="478"/>
      <c r="C706" s="469"/>
      <c r="D706" s="479">
        <f t="shared" si="226"/>
        <v>0</v>
      </c>
      <c r="E706" s="472">
        <f t="shared" ref="E706:E713" si="227">D706*$G$698</f>
        <v>0</v>
      </c>
      <c r="F706" s="475">
        <f>IF(C706="",0,IFERROR(VLOOKUP(COUNTIF($A$1:A706,"ANALISIS DE PRECIOS"),T_Rendimiento_Equipo,5,FALSE),0))</f>
        <v>0</v>
      </c>
      <c r="G706" s="472">
        <f t="shared" ref="G706:G713" si="228">IFERROR(ROUND(E706/F706,2),0)</f>
        <v>0</v>
      </c>
    </row>
    <row r="707" spans="1:7" ht="19.899999999999999" customHeight="1">
      <c r="A707" s="515">
        <f t="shared" si="224"/>
        <v>0</v>
      </c>
      <c r="B707" s="478">
        <f t="shared" si="225"/>
        <v>0</v>
      </c>
      <c r="C707" s="480"/>
      <c r="D707" s="479">
        <f t="shared" si="226"/>
        <v>0</v>
      </c>
      <c r="E707" s="472">
        <f t="shared" si="227"/>
        <v>0</v>
      </c>
      <c r="F707" s="475">
        <f>IF(C707="",0,IFERROR(VLOOKUP(COUNTIF($A$1:A707,"ANALISIS DE PRECIOS"),T_Rendimiento_Equipo,5,FALSE),0))</f>
        <v>0</v>
      </c>
      <c r="G707" s="472">
        <f t="shared" si="228"/>
        <v>0</v>
      </c>
    </row>
    <row r="708" spans="1:7" ht="19.899999999999999" customHeight="1">
      <c r="A708" s="515">
        <f t="shared" si="224"/>
        <v>0</v>
      </c>
      <c r="B708" s="478">
        <f t="shared" si="225"/>
        <v>0</v>
      </c>
      <c r="C708" s="480"/>
      <c r="D708" s="479">
        <f t="shared" si="226"/>
        <v>0</v>
      </c>
      <c r="E708" s="472">
        <f t="shared" si="227"/>
        <v>0</v>
      </c>
      <c r="F708" s="475">
        <f>IF(C708="",0,IFERROR(VLOOKUP(COUNTIF($A$1:A708,"ANALISIS DE PRECIOS"),T_Rendimiento_Equipo,5,FALSE),0))</f>
        <v>0</v>
      </c>
      <c r="G708" s="472">
        <f t="shared" si="228"/>
        <v>0</v>
      </c>
    </row>
    <row r="709" spans="1:7" ht="19.899999999999999" customHeight="1">
      <c r="A709" s="515">
        <f t="shared" si="224"/>
        <v>0</v>
      </c>
      <c r="B709" s="478">
        <f t="shared" si="225"/>
        <v>0</v>
      </c>
      <c r="C709" s="480"/>
      <c r="D709" s="479">
        <f t="shared" ref="D709:D713" si="229">IFERROR(VLOOKUP(C709,T_Insumos,3,FALSE),0)</f>
        <v>0</v>
      </c>
      <c r="E709" s="472">
        <f t="shared" si="227"/>
        <v>0</v>
      </c>
      <c r="F709" s="475">
        <f>IF(C709="",0,IFERROR(VLOOKUP(COUNTIF($A$1:A709,"ANALISIS DE PRECIOS"),T_Rendimiento_Equipo,5,FALSE),0))</f>
        <v>0</v>
      </c>
      <c r="G709" s="472">
        <f t="shared" si="228"/>
        <v>0</v>
      </c>
    </row>
    <row r="710" spans="1:7" ht="19.899999999999999" customHeight="1">
      <c r="A710" s="515">
        <f t="shared" si="224"/>
        <v>0</v>
      </c>
      <c r="B710" s="478">
        <f t="shared" si="225"/>
        <v>0</v>
      </c>
      <c r="C710" s="480"/>
      <c r="D710" s="479">
        <f t="shared" si="229"/>
        <v>0</v>
      </c>
      <c r="E710" s="472">
        <f t="shared" si="227"/>
        <v>0</v>
      </c>
      <c r="F710" s="475">
        <f>IF(C710="",0,IFERROR(VLOOKUP(COUNTIF($A$1:A710,"ANALISIS DE PRECIOS"),T_Rendimiento_Equipo,5,FALSE),0))</f>
        <v>0</v>
      </c>
      <c r="G710" s="472">
        <f t="shared" si="228"/>
        <v>0</v>
      </c>
    </row>
    <row r="711" spans="1:7" ht="19.899999999999999" customHeight="1">
      <c r="A711" s="515">
        <f t="shared" si="224"/>
        <v>0</v>
      </c>
      <c r="B711" s="478">
        <f t="shared" si="225"/>
        <v>0</v>
      </c>
      <c r="C711" s="480"/>
      <c r="D711" s="479">
        <f t="shared" si="229"/>
        <v>0</v>
      </c>
      <c r="E711" s="472">
        <f t="shared" si="227"/>
        <v>0</v>
      </c>
      <c r="F711" s="475">
        <f>IF(C711="",0,IFERROR(VLOOKUP(COUNTIF($A$1:A711,"ANALISIS DE PRECIOS"),T_Rendimiento_Equipo,5,FALSE),0))</f>
        <v>0</v>
      </c>
      <c r="G711" s="472">
        <f t="shared" si="228"/>
        <v>0</v>
      </c>
    </row>
    <row r="712" spans="1:7" ht="19.899999999999999" customHeight="1">
      <c r="A712" s="515">
        <f t="shared" si="224"/>
        <v>0</v>
      </c>
      <c r="B712" s="478">
        <f t="shared" si="225"/>
        <v>0</v>
      </c>
      <c r="C712" s="480"/>
      <c r="D712" s="479">
        <f t="shared" si="229"/>
        <v>0</v>
      </c>
      <c r="E712" s="472">
        <f t="shared" si="227"/>
        <v>0</v>
      </c>
      <c r="F712" s="475">
        <f>IF(C712="",0,IFERROR(VLOOKUP(COUNTIF($A$1:A712,"ANALISIS DE PRECIOS"),T_Rendimiento_Equipo,5,FALSE),0))</f>
        <v>0</v>
      </c>
      <c r="G712" s="472">
        <f t="shared" si="228"/>
        <v>0</v>
      </c>
    </row>
    <row r="713" spans="1:7" ht="19.899999999999999" customHeight="1">
      <c r="A713" s="515">
        <f t="shared" si="224"/>
        <v>0</v>
      </c>
      <c r="B713" s="478">
        <f t="shared" si="225"/>
        <v>0</v>
      </c>
      <c r="C713" s="469"/>
      <c r="D713" s="479">
        <f t="shared" si="229"/>
        <v>0</v>
      </c>
      <c r="E713" s="472">
        <f t="shared" si="227"/>
        <v>0</v>
      </c>
      <c r="F713" s="475">
        <f>IF(C713="",0,IFERROR(VLOOKUP(COUNTIF($A$1:A713,"ANALISIS DE PRECIOS"),T_Rendimiento_Equipo,5,FALSE),0))</f>
        <v>0</v>
      </c>
      <c r="G713" s="472">
        <f t="shared" si="228"/>
        <v>0</v>
      </c>
    </row>
    <row r="714" spans="1:7" ht="19.899999999999999" customHeight="1">
      <c r="A714" s="516"/>
      <c r="B714" s="459"/>
      <c r="C714" s="163"/>
      <c r="D714" s="459"/>
      <c r="E714" s="460"/>
      <c r="F714" s="481" t="s">
        <v>26</v>
      </c>
      <c r="G714" s="517">
        <f>SUBTOTAL(9,G705:G713)</f>
        <v>0</v>
      </c>
    </row>
    <row r="715" spans="1:7" ht="19.899999999999999" customHeight="1">
      <c r="A715" s="513"/>
      <c r="B715" s="163"/>
      <c r="C715" s="455" t="s">
        <v>712</v>
      </c>
      <c r="D715" s="459"/>
      <c r="E715" s="460"/>
      <c r="F715" s="461"/>
      <c r="G715" s="514"/>
    </row>
    <row r="716" spans="1:7" ht="19.899999999999999" customHeight="1">
      <c r="A716" s="677" t="s">
        <v>575</v>
      </c>
      <c r="B716" s="678"/>
      <c r="C716" s="679" t="s">
        <v>0</v>
      </c>
      <c r="D716" s="681" t="s">
        <v>23</v>
      </c>
      <c r="E716" s="681" t="s">
        <v>1830</v>
      </c>
      <c r="F716" s="683" t="s">
        <v>1006</v>
      </c>
      <c r="G716" s="685" t="s">
        <v>25</v>
      </c>
    </row>
    <row r="717" spans="1:7" ht="19.899999999999999" customHeight="1">
      <c r="A717" s="477" t="s">
        <v>576</v>
      </c>
      <c r="B717" s="477" t="s">
        <v>577</v>
      </c>
      <c r="C717" s="680"/>
      <c r="D717" s="682"/>
      <c r="E717" s="682"/>
      <c r="F717" s="684"/>
      <c r="G717" s="686"/>
    </row>
    <row r="718" spans="1:7" ht="19.899999999999999" customHeight="1">
      <c r="A718" s="515">
        <f t="shared" ref="A718:A721" si="230">IFERROR(VLOOKUP(C718,T_Insumos,4,FALSE),0)</f>
        <v>0</v>
      </c>
      <c r="B718" s="478">
        <f t="shared" ref="B718:B721" si="231">IFERROR(VLOOKUP(C718,T_Insumos,5,FALSE),0)</f>
        <v>0</v>
      </c>
      <c r="C718" s="482"/>
      <c r="D718" s="475">
        <v>0</v>
      </c>
      <c r="E718" s="472">
        <f t="shared" ref="E718:E721" si="232">IFERROR(VLOOKUP(C718,T_Insumos,3,FALSE),0)</f>
        <v>0</v>
      </c>
      <c r="F718" s="475">
        <f>+$D$700</f>
        <v>0</v>
      </c>
      <c r="G718" s="472">
        <f>IFERROR(ROUND(D718*E718/F718,2),0)</f>
        <v>0</v>
      </c>
    </row>
    <row r="719" spans="1:7" ht="19.899999999999999" customHeight="1">
      <c r="A719" s="515">
        <f t="shared" si="230"/>
        <v>0</v>
      </c>
      <c r="B719" s="478">
        <f t="shared" si="231"/>
        <v>0</v>
      </c>
      <c r="C719" s="469"/>
      <c r="D719" s="475"/>
      <c r="E719" s="472">
        <f t="shared" si="232"/>
        <v>0</v>
      </c>
      <c r="F719" s="475">
        <f t="shared" ref="F719:F723" si="233">+$D$700</f>
        <v>0</v>
      </c>
      <c r="G719" s="472">
        <f t="shared" ref="G719:G724" si="234">IFERROR(ROUND(D719*E719/F719,2),0)</f>
        <v>0</v>
      </c>
    </row>
    <row r="720" spans="1:7" ht="19.899999999999999" customHeight="1">
      <c r="A720" s="515">
        <f t="shared" si="230"/>
        <v>0</v>
      </c>
      <c r="B720" s="478">
        <f t="shared" si="231"/>
        <v>0</v>
      </c>
      <c r="C720" s="469"/>
      <c r="D720" s="475"/>
      <c r="E720" s="472">
        <f t="shared" si="232"/>
        <v>0</v>
      </c>
      <c r="F720" s="475">
        <f t="shared" si="233"/>
        <v>0</v>
      </c>
      <c r="G720" s="472">
        <f t="shared" si="234"/>
        <v>0</v>
      </c>
    </row>
    <row r="721" spans="1:7" ht="19.899999999999999" customHeight="1">
      <c r="A721" s="515">
        <f t="shared" si="230"/>
        <v>0</v>
      </c>
      <c r="B721" s="478">
        <f t="shared" si="231"/>
        <v>0</v>
      </c>
      <c r="C721" s="469"/>
      <c r="D721" s="475"/>
      <c r="E721" s="472">
        <f t="shared" si="232"/>
        <v>0</v>
      </c>
      <c r="F721" s="475">
        <f t="shared" si="233"/>
        <v>0</v>
      </c>
      <c r="G721" s="472">
        <f t="shared" si="234"/>
        <v>0</v>
      </c>
    </row>
    <row r="722" spans="1:7" ht="19.899999999999999" customHeight="1">
      <c r="A722" s="515">
        <f t="shared" ref="A722:A724" si="235">IFERROR(VLOOKUP(C722,T_Insumos,4,FALSE),0)</f>
        <v>0</v>
      </c>
      <c r="B722" s="478">
        <f t="shared" ref="B722:B724" si="236">IFERROR(VLOOKUP(C722,T_Insumos,5,FALSE),0)</f>
        <v>0</v>
      </c>
      <c r="C722" s="469"/>
      <c r="D722" s="475"/>
      <c r="E722" s="472">
        <f t="shared" ref="E722:E724" si="237">IFERROR(VLOOKUP(C722,T_Insumos,3,FALSE),0)</f>
        <v>0</v>
      </c>
      <c r="F722" s="475">
        <f>IF(C722="",0,IFERROR(VLOOKUP(COUNTIF($A$1:A722,"ANALISIS DE PRECIOS"),T_Rendimiento_Equipo,5,FALSE),0))</f>
        <v>0</v>
      </c>
      <c r="G722" s="472">
        <f t="shared" si="234"/>
        <v>0</v>
      </c>
    </row>
    <row r="723" spans="1:7" ht="19.899999999999999" customHeight="1">
      <c r="A723" s="515">
        <f t="shared" si="235"/>
        <v>0</v>
      </c>
      <c r="B723" s="478">
        <f t="shared" si="236"/>
        <v>0</v>
      </c>
      <c r="C723" s="469"/>
      <c r="D723" s="483"/>
      <c r="E723" s="472">
        <f>SUMPRODUCT(D718:D721,E718:E721)</f>
        <v>0</v>
      </c>
      <c r="F723" s="475">
        <f t="shared" si="233"/>
        <v>0</v>
      </c>
      <c r="G723" s="472">
        <f t="shared" si="234"/>
        <v>0</v>
      </c>
    </row>
    <row r="724" spans="1:7" ht="19.899999999999999" customHeight="1">
      <c r="A724" s="515">
        <f t="shared" si="235"/>
        <v>0</v>
      </c>
      <c r="B724" s="478">
        <f t="shared" si="236"/>
        <v>0</v>
      </c>
      <c r="C724" s="478"/>
      <c r="D724" s="484"/>
      <c r="E724" s="472">
        <f t="shared" si="237"/>
        <v>0</v>
      </c>
      <c r="F724" s="475">
        <f>IF(C724="",0,IFERROR(VLOOKUP(COUNTIF($A$1:A724,"ANALISIS DE PRECIOS"),T_Rendimiento_Equipo,5,FALSE),0))</f>
        <v>0</v>
      </c>
      <c r="G724" s="472">
        <f t="shared" si="234"/>
        <v>0</v>
      </c>
    </row>
    <row r="725" spans="1:7" ht="19.899999999999999" customHeight="1">
      <c r="A725" s="516"/>
      <c r="B725" s="459"/>
      <c r="C725" s="163"/>
      <c r="D725" s="459"/>
      <c r="E725" s="460"/>
      <c r="F725" s="481" t="s">
        <v>27</v>
      </c>
      <c r="G725" s="518">
        <f>SUBTOTAL(9,G718:G724)</f>
        <v>0</v>
      </c>
    </row>
    <row r="726" spans="1:7" ht="19.899999999999999" customHeight="1">
      <c r="A726" s="513"/>
      <c r="B726" s="163"/>
      <c r="C726" s="455" t="s">
        <v>1013</v>
      </c>
      <c r="D726" s="459"/>
      <c r="E726" s="460"/>
      <c r="F726" s="461"/>
      <c r="G726" s="514"/>
    </row>
    <row r="727" spans="1:7" ht="19.899999999999999" customHeight="1">
      <c r="A727" s="677" t="s">
        <v>575</v>
      </c>
      <c r="B727" s="678"/>
      <c r="C727" s="679" t="s">
        <v>0</v>
      </c>
      <c r="D727" s="679" t="s">
        <v>1865</v>
      </c>
      <c r="E727" s="681" t="s">
        <v>23</v>
      </c>
      <c r="F727" s="683" t="s">
        <v>24</v>
      </c>
      <c r="G727" s="685" t="s">
        <v>25</v>
      </c>
    </row>
    <row r="728" spans="1:7" ht="19.899999999999999" customHeight="1">
      <c r="A728" s="477" t="s">
        <v>576</v>
      </c>
      <c r="B728" s="477" t="s">
        <v>577</v>
      </c>
      <c r="C728" s="680"/>
      <c r="D728" s="680"/>
      <c r="E728" s="682"/>
      <c r="F728" s="684"/>
      <c r="G728" s="686"/>
    </row>
    <row r="729" spans="1:7" ht="19.899999999999999" customHeight="1">
      <c r="A729" s="515">
        <f t="shared" ref="A729:A739" si="238">IFERROR(VLOOKUP(C729,T_Insumos,4,FALSE),0)</f>
        <v>0</v>
      </c>
      <c r="B729" s="478">
        <f t="shared" ref="B729:B739" si="239">IFERROR(VLOOKUP(C729,T_Insumos,5,FALSE),0)</f>
        <v>0</v>
      </c>
      <c r="C729" s="478" t="s">
        <v>2078</v>
      </c>
      <c r="D729" s="526"/>
      <c r="E729" s="470"/>
      <c r="F729" s="472">
        <f t="shared" ref="F729:F739" si="240">IFERROR(VLOOKUP(C729,T_Insumos,3,FALSE),0)</f>
        <v>0</v>
      </c>
      <c r="G729" s="472">
        <f>ROUND(E729*F729,2)</f>
        <v>0</v>
      </c>
    </row>
    <row r="730" spans="1:7" ht="19.899999999999999" customHeight="1">
      <c r="A730" s="515">
        <f t="shared" si="238"/>
        <v>0</v>
      </c>
      <c r="B730" s="478">
        <f t="shared" si="239"/>
        <v>0</v>
      </c>
      <c r="C730" s="478"/>
      <c r="D730" s="526">
        <f t="shared" ref="D730:D739" si="241">IFERROR(VLOOKUP(C730,T_Insumos,2,FALSE),0)</f>
        <v>0</v>
      </c>
      <c r="E730" s="470"/>
      <c r="F730" s="472">
        <f t="shared" si="240"/>
        <v>0</v>
      </c>
      <c r="G730" s="472">
        <f t="shared" ref="G730:G739" si="242">ROUND(E730*F730,2)</f>
        <v>0</v>
      </c>
    </row>
    <row r="731" spans="1:7" ht="19.899999999999999" customHeight="1">
      <c r="A731" s="515">
        <f t="shared" si="238"/>
        <v>0</v>
      </c>
      <c r="B731" s="478">
        <f t="shared" si="239"/>
        <v>0</v>
      </c>
      <c r="C731" s="478"/>
      <c r="D731" s="526">
        <f t="shared" si="241"/>
        <v>0</v>
      </c>
      <c r="E731" s="470"/>
      <c r="F731" s="472">
        <f t="shared" si="240"/>
        <v>0</v>
      </c>
      <c r="G731" s="472">
        <f t="shared" si="242"/>
        <v>0</v>
      </c>
    </row>
    <row r="732" spans="1:7" ht="19.899999999999999" customHeight="1">
      <c r="A732" s="515">
        <f t="shared" si="238"/>
        <v>0</v>
      </c>
      <c r="B732" s="478">
        <f t="shared" si="239"/>
        <v>0</v>
      </c>
      <c r="C732" s="478"/>
      <c r="D732" s="526">
        <f t="shared" si="241"/>
        <v>0</v>
      </c>
      <c r="E732" s="470"/>
      <c r="F732" s="472">
        <f t="shared" si="240"/>
        <v>0</v>
      </c>
      <c r="G732" s="472">
        <f t="shared" si="242"/>
        <v>0</v>
      </c>
    </row>
    <row r="733" spans="1:7" ht="19.899999999999999" customHeight="1">
      <c r="A733" s="515">
        <f t="shared" si="238"/>
        <v>0</v>
      </c>
      <c r="B733" s="478">
        <f t="shared" si="239"/>
        <v>0</v>
      </c>
      <c r="C733" s="478"/>
      <c r="D733" s="526">
        <f t="shared" si="241"/>
        <v>0</v>
      </c>
      <c r="E733" s="470"/>
      <c r="F733" s="472">
        <f t="shared" si="240"/>
        <v>0</v>
      </c>
      <c r="G733" s="472">
        <f t="shared" si="242"/>
        <v>0</v>
      </c>
    </row>
    <row r="734" spans="1:7" ht="19.899999999999999" customHeight="1">
      <c r="A734" s="515">
        <f t="shared" si="238"/>
        <v>0</v>
      </c>
      <c r="B734" s="478">
        <f t="shared" si="239"/>
        <v>0</v>
      </c>
      <c r="C734" s="478"/>
      <c r="D734" s="526">
        <f t="shared" si="241"/>
        <v>0</v>
      </c>
      <c r="E734" s="470"/>
      <c r="F734" s="472">
        <f t="shared" si="240"/>
        <v>0</v>
      </c>
      <c r="G734" s="472">
        <f t="shared" si="242"/>
        <v>0</v>
      </c>
    </row>
    <row r="735" spans="1:7" ht="19.899999999999999" customHeight="1">
      <c r="A735" s="515">
        <f t="shared" si="238"/>
        <v>0</v>
      </c>
      <c r="B735" s="478">
        <f t="shared" si="239"/>
        <v>0</v>
      </c>
      <c r="C735" s="478"/>
      <c r="D735" s="526">
        <f t="shared" si="241"/>
        <v>0</v>
      </c>
      <c r="E735" s="470"/>
      <c r="F735" s="472">
        <f t="shared" si="240"/>
        <v>0</v>
      </c>
      <c r="G735" s="472">
        <f t="shared" si="242"/>
        <v>0</v>
      </c>
    </row>
    <row r="736" spans="1:7" ht="19.899999999999999" customHeight="1">
      <c r="A736" s="515">
        <f t="shared" si="238"/>
        <v>0</v>
      </c>
      <c r="B736" s="478">
        <f t="shared" si="239"/>
        <v>0</v>
      </c>
      <c r="C736" s="478"/>
      <c r="D736" s="526">
        <f t="shared" si="241"/>
        <v>0</v>
      </c>
      <c r="E736" s="470"/>
      <c r="F736" s="472">
        <f t="shared" si="240"/>
        <v>0</v>
      </c>
      <c r="G736" s="472">
        <f t="shared" si="242"/>
        <v>0</v>
      </c>
    </row>
    <row r="737" spans="1:7" ht="19.899999999999999" customHeight="1">
      <c r="A737" s="515">
        <f t="shared" si="238"/>
        <v>0</v>
      </c>
      <c r="B737" s="478">
        <f t="shared" si="239"/>
        <v>0</v>
      </c>
      <c r="C737" s="478"/>
      <c r="D737" s="526">
        <f t="shared" si="241"/>
        <v>0</v>
      </c>
      <c r="E737" s="470"/>
      <c r="F737" s="472">
        <f t="shared" si="240"/>
        <v>0</v>
      </c>
      <c r="G737" s="472">
        <f t="shared" si="242"/>
        <v>0</v>
      </c>
    </row>
    <row r="738" spans="1:7" ht="19.899999999999999" customHeight="1">
      <c r="A738" s="515">
        <f t="shared" si="238"/>
        <v>0</v>
      </c>
      <c r="B738" s="478">
        <f t="shared" si="239"/>
        <v>0</v>
      </c>
      <c r="C738" s="478"/>
      <c r="D738" s="526">
        <f t="shared" si="241"/>
        <v>0</v>
      </c>
      <c r="E738" s="470"/>
      <c r="F738" s="472">
        <f t="shared" si="240"/>
        <v>0</v>
      </c>
      <c r="G738" s="472">
        <f t="shared" si="242"/>
        <v>0</v>
      </c>
    </row>
    <row r="739" spans="1:7" ht="19.899999999999999" customHeight="1">
      <c r="A739" s="515">
        <f t="shared" si="238"/>
        <v>0</v>
      </c>
      <c r="B739" s="478">
        <f t="shared" si="239"/>
        <v>0</v>
      </c>
      <c r="C739" s="478"/>
      <c r="D739" s="526">
        <f t="shared" si="241"/>
        <v>0</v>
      </c>
      <c r="E739" s="470"/>
      <c r="F739" s="472">
        <f t="shared" si="240"/>
        <v>0</v>
      </c>
      <c r="G739" s="472">
        <f t="shared" si="242"/>
        <v>0</v>
      </c>
    </row>
    <row r="740" spans="1:7" ht="19.899999999999999" customHeight="1">
      <c r="A740" s="513"/>
      <c r="B740" s="163"/>
      <c r="C740" s="163"/>
      <c r="D740" s="459"/>
      <c r="E740" s="460"/>
      <c r="F740" s="481" t="s">
        <v>28</v>
      </c>
      <c r="G740" s="518">
        <f>SUBTOTAL(9,G729:G739)</f>
        <v>0</v>
      </c>
    </row>
    <row r="741" spans="1:7" ht="19.899999999999999" customHeight="1">
      <c r="A741" s="513"/>
      <c r="B741" s="163"/>
      <c r="C741" s="455" t="s">
        <v>1014</v>
      </c>
      <c r="D741" s="459"/>
      <c r="E741" s="460"/>
      <c r="F741" s="461"/>
      <c r="G741" s="514"/>
    </row>
    <row r="742" spans="1:7" ht="19.899999999999999" customHeight="1">
      <c r="A742" s="677" t="s">
        <v>575</v>
      </c>
      <c r="B742" s="678"/>
      <c r="C742" s="679" t="s">
        <v>0</v>
      </c>
      <c r="D742" s="679" t="s">
        <v>1865</v>
      </c>
      <c r="E742" s="681" t="s">
        <v>23</v>
      </c>
      <c r="F742" s="683" t="s">
        <v>24</v>
      </c>
      <c r="G742" s="685" t="s">
        <v>25</v>
      </c>
    </row>
    <row r="743" spans="1:7" ht="19.899999999999999" customHeight="1">
      <c r="A743" s="477" t="s">
        <v>576</v>
      </c>
      <c r="B743" s="477" t="s">
        <v>577</v>
      </c>
      <c r="C743" s="680"/>
      <c r="D743" s="680"/>
      <c r="E743" s="682"/>
      <c r="F743" s="684"/>
      <c r="G743" s="686"/>
    </row>
    <row r="744" spans="1:7" ht="19.899999999999999" customHeight="1">
      <c r="A744" s="515">
        <f>IFERROR(VLOOKUP(C744,T_Insumos,4,FALSE),0)</f>
        <v>0</v>
      </c>
      <c r="B744" s="478">
        <f>IFERROR(VLOOKUP(C744,T_Insumos,5,FALSE),0)</f>
        <v>0</v>
      </c>
      <c r="C744" s="469"/>
      <c r="D744" s="526">
        <f>IF(C744=0,0,"$/tnkm")</f>
        <v>0</v>
      </c>
      <c r="E744" s="470"/>
      <c r="F744" s="472">
        <f>IFERROR(VLOOKUP(C744,T_Insumos,3,FALSE),0)</f>
        <v>0</v>
      </c>
      <c r="G744" s="472">
        <f>ROUND(E744*F744,2)</f>
        <v>0</v>
      </c>
    </row>
    <row r="745" spans="1:7" ht="19.899999999999999" customHeight="1">
      <c r="A745" s="515">
        <f>IFERROR(VLOOKUP(C745,T_Insumos,4,FALSE),0)</f>
        <v>0</v>
      </c>
      <c r="B745" s="478">
        <f>IFERROR(VLOOKUP(C745,T_Insumos,5,FALSE),0)</f>
        <v>0</v>
      </c>
      <c r="C745" s="469"/>
      <c r="D745" s="526">
        <f>IF(C745=0,0,"$/tnkm")</f>
        <v>0</v>
      </c>
      <c r="E745" s="486"/>
      <c r="F745" s="472">
        <f>IFERROR(VLOOKUP(C745,T_Insumos,3,FALSE),0)</f>
        <v>0</v>
      </c>
      <c r="G745" s="472">
        <f t="shared" ref="G745" si="243">ROUND(E745*F745,2)</f>
        <v>0</v>
      </c>
    </row>
    <row r="746" spans="1:7" ht="19.899999999999999" customHeight="1">
      <c r="A746" s="513"/>
      <c r="B746" s="163"/>
      <c r="C746" s="163"/>
      <c r="D746" s="459"/>
      <c r="E746" s="460"/>
      <c r="F746" s="481" t="s">
        <v>1015</v>
      </c>
      <c r="G746" s="518">
        <f>SUBTOTAL(9,G744:G745)</f>
        <v>0</v>
      </c>
    </row>
    <row r="747" spans="1:7" ht="19.899999999999999" customHeight="1">
      <c r="A747" s="516"/>
      <c r="B747" s="459"/>
      <c r="C747" s="163"/>
      <c r="D747" s="459"/>
      <c r="E747" s="460"/>
      <c r="F747" s="461"/>
      <c r="G747" s="514"/>
    </row>
    <row r="748" spans="1:7" ht="19.899999999999999" customHeight="1">
      <c r="A748" s="574" t="str">
        <f>B682</f>
        <v>3.4.1</v>
      </c>
      <c r="B748" s="571" t="str">
        <f ca="1">C682</f>
        <v>Reacondicionamiento pasarela</v>
      </c>
      <c r="C748" s="459"/>
      <c r="D748" s="459" t="s">
        <v>1831</v>
      </c>
      <c r="E748" s="572"/>
      <c r="F748" s="573" t="str">
        <f ca="1">"$/"&amp;G682</f>
        <v>$/gl.</v>
      </c>
      <c r="G748" s="523">
        <f>SUBTOTAL(9,G705:G747)</f>
        <v>0</v>
      </c>
    </row>
    <row r="749" spans="1:7" ht="19.899999999999999" customHeight="1">
      <c r="A749" s="519"/>
      <c r="B749" s="520"/>
      <c r="C749" s="521"/>
      <c r="D749" s="521" t="s">
        <v>2041</v>
      </c>
      <c r="E749" s="522"/>
      <c r="F749" s="575" t="str">
        <f ca="1">"$/"&amp;G682</f>
        <v>$/gl.</v>
      </c>
      <c r="G749" s="523">
        <f>ROUND(G748*Coeficiente_Paso,2)</f>
        <v>0</v>
      </c>
    </row>
    <row r="750" spans="1:7" ht="19.899999999999999" customHeight="1">
      <c r="A750" s="163"/>
      <c r="B750" s="163"/>
      <c r="C750" s="163"/>
      <c r="D750" s="163"/>
      <c r="E750" s="163"/>
      <c r="F750" s="163"/>
      <c r="G750" s="163"/>
    </row>
    <row r="751" spans="1:7" ht="19.899999999999999" customHeight="1">
      <c r="A751" s="687" t="s">
        <v>30</v>
      </c>
      <c r="B751" s="688"/>
      <c r="C751" s="688"/>
      <c r="D751" s="688"/>
      <c r="E751" s="688"/>
      <c r="F751" s="688"/>
      <c r="G751" s="689"/>
    </row>
    <row r="752" spans="1:7" ht="19.899999999999999" customHeight="1">
      <c r="A752" s="502" t="s">
        <v>710</v>
      </c>
      <c r="B752" s="453" t="str">
        <f>Comitente</f>
        <v>DEPARTAMENTO DE HIDRAULICA</v>
      </c>
      <c r="C752" s="454"/>
      <c r="D752" s="455"/>
      <c r="E752" s="455"/>
      <c r="F752" s="456"/>
      <c r="G752" s="503"/>
    </row>
    <row r="753" spans="1:7" ht="19.899999999999999" customHeight="1">
      <c r="A753" s="502" t="s">
        <v>711</v>
      </c>
      <c r="B753" s="453">
        <f>Contratista</f>
        <v>0</v>
      </c>
      <c r="C753" s="457"/>
      <c r="D753" s="457"/>
      <c r="E753" s="457"/>
      <c r="F753" s="453"/>
      <c r="G753" s="504"/>
    </row>
    <row r="754" spans="1:7" ht="19.899999999999999" customHeight="1">
      <c r="A754" s="502" t="s">
        <v>20</v>
      </c>
      <c r="B754" s="453" t="str">
        <f>Obra</f>
        <v>MEJORA DE LA RED DE RIEGO DEL VALLE DE JÁCHAL</v>
      </c>
      <c r="C754" s="457"/>
      <c r="D754" s="457"/>
      <c r="E754" s="457"/>
      <c r="F754" s="453" t="s">
        <v>31</v>
      </c>
      <c r="G754" s="504" t="str">
        <f>Fecha_Base</f>
        <v>XX/07/2020</v>
      </c>
    </row>
    <row r="755" spans="1:7" ht="19.899999999999999" customHeight="1">
      <c r="A755" s="505" t="s">
        <v>709</v>
      </c>
      <c r="B755" s="458" t="str">
        <f>Ubicación</f>
        <v>JACHAL</v>
      </c>
      <c r="C755" s="458"/>
      <c r="D755" s="459"/>
      <c r="E755" s="460"/>
      <c r="F755" s="461"/>
      <c r="G755" s="506"/>
    </row>
    <row r="756" spans="1:7" ht="19.899999999999999" customHeight="1">
      <c r="A756" s="505" t="s">
        <v>32</v>
      </c>
      <c r="B756" s="462">
        <f>IFERROR(VALUE(LEFT(B757,FIND(".",B757)-1)),"")</f>
        <v>3</v>
      </c>
      <c r="C756" s="163" t="str">
        <f ca="1">IFERROR(VLOOKUP(B756,T_Computo_Presupuesto,2,FALSE),0)</f>
        <v>AZUD PACHIMOCO</v>
      </c>
      <c r="D756" s="163"/>
      <c r="E756" s="460"/>
      <c r="F756" s="461"/>
      <c r="G756" s="506"/>
    </row>
    <row r="757" spans="1:7" ht="19.899999999999999" customHeight="1">
      <c r="A757" s="505" t="s">
        <v>21</v>
      </c>
      <c r="B757" s="463" t="str">
        <f>IFERROR(VLOOKUP(COUNTIF($A$1:A757,"ANALISIS DE PRECIOS"),T_NumeroItem,2,FALSE),"")</f>
        <v>3.4.2</v>
      </c>
      <c r="C757" s="690" t="str">
        <f ca="1">IFERROR(VLOOKUP(B757,T_Computo_Presupuesto,2,FALSE),0)</f>
        <v>Mantenimiento grupo electrogeno existente</v>
      </c>
      <c r="D757" s="690"/>
      <c r="E757" s="690"/>
      <c r="F757" s="458" t="s">
        <v>22</v>
      </c>
      <c r="G757" s="507" t="str">
        <f ca="1">IFERROR(VLOOKUP(B757,T_Computo_Presupuesto,4,FALSE),0)</f>
        <v>gl.</v>
      </c>
    </row>
    <row r="758" spans="1:7" ht="19.899999999999999" customHeight="1">
      <c r="A758" s="505"/>
      <c r="B758" s="458"/>
      <c r="C758" s="163"/>
      <c r="D758" s="459"/>
      <c r="E758" s="460"/>
      <c r="F758" s="163"/>
      <c r="G758" s="508"/>
    </row>
    <row r="759" spans="1:7" ht="19.899999999999999" customHeight="1">
      <c r="A759" s="509"/>
      <c r="B759" s="464"/>
      <c r="C759" s="465" t="s">
        <v>998</v>
      </c>
      <c r="D759" s="464"/>
      <c r="E759" s="464"/>
      <c r="F759" s="464"/>
      <c r="G759" s="510"/>
    </row>
    <row r="760" spans="1:7" ht="19.899999999999999" customHeight="1">
      <c r="A760" s="505"/>
      <c r="B760" s="466"/>
      <c r="C760" s="163"/>
      <c r="D760" s="459"/>
      <c r="E760" s="460"/>
      <c r="F760" s="458"/>
      <c r="G760" s="507"/>
    </row>
    <row r="761" spans="1:7" ht="19.899999999999999" customHeight="1">
      <c r="A761" s="505"/>
      <c r="B761" s="466"/>
      <c r="C761" s="467" t="s">
        <v>999</v>
      </c>
      <c r="D761" s="468" t="s">
        <v>23</v>
      </c>
      <c r="E761" s="468" t="s">
        <v>1000</v>
      </c>
      <c r="F761" s="468" t="s">
        <v>1001</v>
      </c>
      <c r="G761" s="467" t="s">
        <v>1002</v>
      </c>
    </row>
    <row r="762" spans="1:7" ht="19.899999999999999" customHeight="1">
      <c r="A762" s="505"/>
      <c r="B762" s="466"/>
      <c r="C762" s="469"/>
      <c r="D762" s="470"/>
      <c r="E762" s="471">
        <f t="shared" ref="E762:E766" si="244">IFERROR(VLOOKUP(C762,T_Equipos,4,FALSE),0)</f>
        <v>0</v>
      </c>
      <c r="F762" s="472">
        <f t="shared" ref="F762:F766" si="245">IFERROR(VLOOKUP(C762,T_Equipos,5,FALSE),0)</f>
        <v>0</v>
      </c>
      <c r="G762" s="472">
        <f>ROUND(D762*F762,2)</f>
        <v>0</v>
      </c>
    </row>
    <row r="763" spans="1:7" ht="19.899999999999999" customHeight="1">
      <c r="A763" s="505"/>
      <c r="B763" s="466"/>
      <c r="C763" s="469"/>
      <c r="D763" s="470"/>
      <c r="E763" s="471">
        <f t="shared" si="244"/>
        <v>0</v>
      </c>
      <c r="F763" s="472">
        <f t="shared" si="245"/>
        <v>0</v>
      </c>
      <c r="G763" s="472">
        <f>ROUND(D763*F763,2)</f>
        <v>0</v>
      </c>
    </row>
    <row r="764" spans="1:7" ht="19.899999999999999" customHeight="1">
      <c r="A764" s="505"/>
      <c r="B764" s="466"/>
      <c r="C764" s="469"/>
      <c r="D764" s="470"/>
      <c r="E764" s="471">
        <f t="shared" si="244"/>
        <v>0</v>
      </c>
      <c r="F764" s="472">
        <f t="shared" si="245"/>
        <v>0</v>
      </c>
      <c r="G764" s="472">
        <f>ROUND(D764*F764,2)</f>
        <v>0</v>
      </c>
    </row>
    <row r="765" spans="1:7" ht="19.899999999999999" customHeight="1">
      <c r="A765" s="505"/>
      <c r="B765" s="466"/>
      <c r="C765" s="469"/>
      <c r="D765" s="470"/>
      <c r="E765" s="471">
        <f t="shared" si="244"/>
        <v>0</v>
      </c>
      <c r="F765" s="472">
        <f t="shared" si="245"/>
        <v>0</v>
      </c>
      <c r="G765" s="472">
        <f>ROUND(D765*F765,2)</f>
        <v>0</v>
      </c>
    </row>
    <row r="766" spans="1:7" ht="19.899999999999999" customHeight="1">
      <c r="A766" s="505"/>
      <c r="B766" s="466"/>
      <c r="C766" s="469"/>
      <c r="D766" s="470"/>
      <c r="E766" s="471">
        <f t="shared" si="244"/>
        <v>0</v>
      </c>
      <c r="F766" s="472">
        <f t="shared" si="245"/>
        <v>0</v>
      </c>
      <c r="G766" s="472">
        <f t="shared" ref="G766:G771" si="246">ROUND(D766*F766,2)</f>
        <v>0</v>
      </c>
    </row>
    <row r="767" spans="1:7" ht="19.899999999999999" customHeight="1">
      <c r="A767" s="505"/>
      <c r="B767" s="466"/>
      <c r="C767" s="469"/>
      <c r="D767" s="470"/>
      <c r="E767" s="471">
        <f t="shared" ref="E767:E771" si="247">IFERROR(VLOOKUP(C767,T_Equipos,4,FALSE),0)</f>
        <v>0</v>
      </c>
      <c r="F767" s="472">
        <f t="shared" ref="F767:F771" si="248">IFERROR(VLOOKUP(C767,T_Equipos,5,FALSE),0)</f>
        <v>0</v>
      </c>
      <c r="G767" s="472">
        <f t="shared" si="246"/>
        <v>0</v>
      </c>
    </row>
    <row r="768" spans="1:7" ht="19.899999999999999" customHeight="1">
      <c r="A768" s="505"/>
      <c r="B768" s="466"/>
      <c r="C768" s="469"/>
      <c r="D768" s="470"/>
      <c r="E768" s="471">
        <f t="shared" si="247"/>
        <v>0</v>
      </c>
      <c r="F768" s="472">
        <f t="shared" si="248"/>
        <v>0</v>
      </c>
      <c r="G768" s="472">
        <f t="shared" si="246"/>
        <v>0</v>
      </c>
    </row>
    <row r="769" spans="1:7" ht="19.899999999999999" customHeight="1">
      <c r="A769" s="505"/>
      <c r="B769" s="466"/>
      <c r="C769" s="469"/>
      <c r="D769" s="470"/>
      <c r="E769" s="471">
        <f t="shared" si="247"/>
        <v>0</v>
      </c>
      <c r="F769" s="472">
        <f t="shared" si="248"/>
        <v>0</v>
      </c>
      <c r="G769" s="472">
        <f t="shared" si="246"/>
        <v>0</v>
      </c>
    </row>
    <row r="770" spans="1:7" ht="19.899999999999999" customHeight="1">
      <c r="A770" s="505"/>
      <c r="B770" s="466"/>
      <c r="C770" s="469"/>
      <c r="D770" s="470"/>
      <c r="E770" s="471">
        <f t="shared" si="247"/>
        <v>0</v>
      </c>
      <c r="F770" s="472">
        <f t="shared" si="248"/>
        <v>0</v>
      </c>
      <c r="G770" s="472">
        <f t="shared" si="246"/>
        <v>0</v>
      </c>
    </row>
    <row r="771" spans="1:7" ht="19.899999999999999" customHeight="1">
      <c r="A771" s="505"/>
      <c r="B771" s="466"/>
      <c r="C771" s="469"/>
      <c r="D771" s="470"/>
      <c r="E771" s="471">
        <f t="shared" si="247"/>
        <v>0</v>
      </c>
      <c r="F771" s="472">
        <f t="shared" si="248"/>
        <v>0</v>
      </c>
      <c r="G771" s="472">
        <f t="shared" si="246"/>
        <v>0</v>
      </c>
    </row>
    <row r="772" spans="1:7" ht="19.899999999999999" customHeight="1">
      <c r="A772" s="505"/>
      <c r="B772" s="466"/>
      <c r="C772" s="163"/>
      <c r="D772" s="163"/>
      <c r="E772" s="473"/>
      <c r="F772" s="458"/>
      <c r="G772" s="507"/>
    </row>
    <row r="773" spans="1:7" ht="19.899999999999999" customHeight="1">
      <c r="A773" s="505"/>
      <c r="B773" s="163"/>
      <c r="C773" s="455" t="s">
        <v>1003</v>
      </c>
      <c r="D773" s="458" t="s">
        <v>1000</v>
      </c>
      <c r="E773" s="524">
        <f>SUMPRODUCT(D762:D771,E762:E771)</f>
        <v>0</v>
      </c>
      <c r="F773" s="458" t="s">
        <v>1004</v>
      </c>
      <c r="G773" s="525">
        <f>SUM(G762:G771)</f>
        <v>0</v>
      </c>
    </row>
    <row r="774" spans="1:7" ht="19.899999999999999" customHeight="1">
      <c r="A774" s="505"/>
      <c r="B774" s="466"/>
      <c r="C774" s="474"/>
      <c r="D774" s="473"/>
      <c r="E774" s="460"/>
      <c r="F774" s="458"/>
      <c r="G774" s="511"/>
    </row>
    <row r="775" spans="1:7" ht="19.899999999999999" customHeight="1">
      <c r="A775" s="512"/>
      <c r="B775" s="466"/>
      <c r="C775" s="458" t="s">
        <v>1005</v>
      </c>
      <c r="D775" s="475"/>
      <c r="E775" s="476" t="str">
        <f ca="1">G757&amp;"/día"</f>
        <v>gl./día</v>
      </c>
      <c r="F775" s="452"/>
      <c r="G775" s="507"/>
    </row>
    <row r="776" spans="1:7" ht="19.899999999999999" customHeight="1">
      <c r="A776" s="505"/>
      <c r="B776" s="466"/>
      <c r="C776" s="163"/>
      <c r="D776" s="459"/>
      <c r="E776" s="460"/>
      <c r="F776" s="458"/>
      <c r="G776" s="507"/>
    </row>
    <row r="777" spans="1:7" ht="19.899999999999999" customHeight="1">
      <c r="A777" s="677" t="s">
        <v>575</v>
      </c>
      <c r="B777" s="678"/>
      <c r="C777" s="679" t="s">
        <v>0</v>
      </c>
      <c r="D777" s="691" t="s">
        <v>1864</v>
      </c>
      <c r="E777" s="691" t="s">
        <v>1863</v>
      </c>
      <c r="F777" s="683" t="s">
        <v>1006</v>
      </c>
      <c r="G777" s="685" t="s">
        <v>25</v>
      </c>
    </row>
    <row r="778" spans="1:7" ht="19.899999999999999" customHeight="1">
      <c r="A778" s="477" t="s">
        <v>576</v>
      </c>
      <c r="B778" s="477" t="s">
        <v>577</v>
      </c>
      <c r="C778" s="680"/>
      <c r="D778" s="692"/>
      <c r="E778" s="682"/>
      <c r="F778" s="684"/>
      <c r="G778" s="686"/>
    </row>
    <row r="779" spans="1:7" ht="19.899999999999999" customHeight="1">
      <c r="A779" s="513"/>
      <c r="B779" s="163"/>
      <c r="C779" s="455" t="s">
        <v>1007</v>
      </c>
      <c r="D779" s="460"/>
      <c r="E779" s="460"/>
      <c r="F779" s="163"/>
      <c r="G779" s="514"/>
    </row>
    <row r="780" spans="1:7" ht="19.899999999999999" customHeight="1">
      <c r="A780" s="515">
        <f t="shared" ref="A780:A788" si="249">IFERROR(VLOOKUP(C780,T_Insumos,4,FALSE),0)</f>
        <v>0</v>
      </c>
      <c r="B780" s="478">
        <f t="shared" ref="B780:B788" si="250">IFERROR(VLOOKUP(C780,T_Insumos,5,FALSE),0)</f>
        <v>0</v>
      </c>
      <c r="C780" s="469"/>
      <c r="D780" s="479">
        <f t="shared" ref="D780:D783" si="251">IFERROR(VLOOKUP(C780,T_Insumos,3,FALSE),0)</f>
        <v>0</v>
      </c>
      <c r="E780" s="472">
        <f>D780*$G$773</f>
        <v>0</v>
      </c>
      <c r="F780" s="475">
        <f>+$D$775</f>
        <v>0</v>
      </c>
      <c r="G780" s="472">
        <f>IFERROR(ROUND(E780/F780,2),0)</f>
        <v>0</v>
      </c>
    </row>
    <row r="781" spans="1:7" ht="19.899999999999999" customHeight="1">
      <c r="A781" s="515"/>
      <c r="B781" s="478">
        <f t="shared" si="250"/>
        <v>0</v>
      </c>
      <c r="C781" s="469"/>
      <c r="D781" s="479">
        <f t="shared" si="251"/>
        <v>0</v>
      </c>
      <c r="E781" s="472">
        <f>D781*$G$773</f>
        <v>0</v>
      </c>
      <c r="F781" s="475">
        <f t="shared" ref="F781:F783" si="252">+$D$775</f>
        <v>0</v>
      </c>
      <c r="G781" s="472">
        <f t="shared" ref="G781:G788" si="253">IFERROR(ROUND(E781/F781,2),0)</f>
        <v>0</v>
      </c>
    </row>
    <row r="782" spans="1:7" ht="19.899999999999999" customHeight="1">
      <c r="A782" s="515">
        <f t="shared" si="249"/>
        <v>0</v>
      </c>
      <c r="B782" s="478">
        <f t="shared" si="250"/>
        <v>0</v>
      </c>
      <c r="C782" s="480"/>
      <c r="D782" s="479">
        <f t="shared" si="251"/>
        <v>0</v>
      </c>
      <c r="E782" s="609">
        <f>D782*$E$773</f>
        <v>0</v>
      </c>
      <c r="F782" s="475">
        <f t="shared" si="252"/>
        <v>0</v>
      </c>
      <c r="G782" s="472">
        <f t="shared" si="253"/>
        <v>0</v>
      </c>
    </row>
    <row r="783" spans="1:7" ht="19.899999999999999" customHeight="1">
      <c r="A783" s="515">
        <f t="shared" si="249"/>
        <v>0</v>
      </c>
      <c r="B783" s="478">
        <f t="shared" si="250"/>
        <v>0</v>
      </c>
      <c r="C783" s="480"/>
      <c r="D783" s="479">
        <f t="shared" si="251"/>
        <v>0</v>
      </c>
      <c r="E783" s="609">
        <f>D783*$E$773</f>
        <v>0</v>
      </c>
      <c r="F783" s="475">
        <f t="shared" si="252"/>
        <v>0</v>
      </c>
      <c r="G783" s="472">
        <f t="shared" si="253"/>
        <v>0</v>
      </c>
    </row>
    <row r="784" spans="1:7" ht="19.899999999999999" customHeight="1">
      <c r="A784" s="515">
        <f t="shared" si="249"/>
        <v>0</v>
      </c>
      <c r="B784" s="478">
        <f t="shared" si="250"/>
        <v>0</v>
      </c>
      <c r="C784" s="480"/>
      <c r="D784" s="479">
        <f t="shared" ref="D784:D788" si="254">IFERROR(VLOOKUP(C784,T_Insumos,3,FALSE),0)</f>
        <v>0</v>
      </c>
      <c r="E784" s="472"/>
      <c r="F784" s="475">
        <f>IF(C784="",0,IFERROR(VLOOKUP(COUNTIF($A$1:A784,"ANALISIS DE PRECIOS"),T_Rendimiento_Equipo,5,FALSE),0))</f>
        <v>0</v>
      </c>
      <c r="G784" s="472">
        <f t="shared" si="253"/>
        <v>0</v>
      </c>
    </row>
    <row r="785" spans="1:7" ht="19.899999999999999" customHeight="1">
      <c r="A785" s="515">
        <f t="shared" si="249"/>
        <v>0</v>
      </c>
      <c r="B785" s="478">
        <f t="shared" si="250"/>
        <v>0</v>
      </c>
      <c r="C785" s="480"/>
      <c r="D785" s="479">
        <f t="shared" si="254"/>
        <v>0</v>
      </c>
      <c r="E785" s="472"/>
      <c r="F785" s="475">
        <f>IF(C785="",0,IFERROR(VLOOKUP(COUNTIF($A$1:A785,"ANALISIS DE PRECIOS"),T_Rendimiento_Equipo,5,FALSE),0))</f>
        <v>0</v>
      </c>
      <c r="G785" s="472">
        <f t="shared" si="253"/>
        <v>0</v>
      </c>
    </row>
    <row r="786" spans="1:7" ht="19.899999999999999" customHeight="1">
      <c r="A786" s="515">
        <f t="shared" si="249"/>
        <v>0</v>
      </c>
      <c r="B786" s="478">
        <f t="shared" si="250"/>
        <v>0</v>
      </c>
      <c r="C786" s="480"/>
      <c r="D786" s="479">
        <f t="shared" si="254"/>
        <v>0</v>
      </c>
      <c r="E786" s="472"/>
      <c r="F786" s="475">
        <f>IF(C786="",0,IFERROR(VLOOKUP(COUNTIF($A$1:A786,"ANALISIS DE PRECIOS"),T_Rendimiento_Equipo,5,FALSE),0))</f>
        <v>0</v>
      </c>
      <c r="G786" s="472">
        <f t="shared" si="253"/>
        <v>0</v>
      </c>
    </row>
    <row r="787" spans="1:7" ht="19.899999999999999" customHeight="1">
      <c r="A787" s="515">
        <f t="shared" si="249"/>
        <v>0</v>
      </c>
      <c r="B787" s="478">
        <f t="shared" si="250"/>
        <v>0</v>
      </c>
      <c r="C787" s="480"/>
      <c r="D787" s="479">
        <f t="shared" si="254"/>
        <v>0</v>
      </c>
      <c r="E787" s="472"/>
      <c r="F787" s="475">
        <f>IF(C787="",0,IFERROR(VLOOKUP(COUNTIF($A$1:A787,"ANALISIS DE PRECIOS"),T_Rendimiento_Equipo,5,FALSE),0))</f>
        <v>0</v>
      </c>
      <c r="G787" s="472">
        <f t="shared" si="253"/>
        <v>0</v>
      </c>
    </row>
    <row r="788" spans="1:7" ht="19.899999999999999" customHeight="1">
      <c r="A788" s="515">
        <f t="shared" si="249"/>
        <v>0</v>
      </c>
      <c r="B788" s="478">
        <f t="shared" si="250"/>
        <v>0</v>
      </c>
      <c r="C788" s="469"/>
      <c r="D788" s="479">
        <f t="shared" si="254"/>
        <v>0</v>
      </c>
      <c r="E788" s="472"/>
      <c r="F788" s="475">
        <f>IF(C788="",0,IFERROR(VLOOKUP(COUNTIF($A$1:A788,"ANALISIS DE PRECIOS"),T_Rendimiento_Equipo,5,FALSE),0))</f>
        <v>0</v>
      </c>
      <c r="G788" s="472">
        <f t="shared" si="253"/>
        <v>0</v>
      </c>
    </row>
    <row r="789" spans="1:7" ht="19.899999999999999" customHeight="1">
      <c r="A789" s="516"/>
      <c r="B789" s="459"/>
      <c r="C789" s="163"/>
      <c r="D789" s="459"/>
      <c r="E789" s="460"/>
      <c r="F789" s="481" t="s">
        <v>26</v>
      </c>
      <c r="G789" s="517">
        <f>SUBTOTAL(9,G780:G788)</f>
        <v>0</v>
      </c>
    </row>
    <row r="790" spans="1:7" ht="19.899999999999999" customHeight="1">
      <c r="A790" s="513"/>
      <c r="B790" s="163"/>
      <c r="C790" s="455" t="s">
        <v>712</v>
      </c>
      <c r="D790" s="459"/>
      <c r="E790" s="460"/>
      <c r="F790" s="461"/>
      <c r="G790" s="514"/>
    </row>
    <row r="791" spans="1:7" ht="19.899999999999999" customHeight="1">
      <c r="A791" s="677" t="s">
        <v>575</v>
      </c>
      <c r="B791" s="678"/>
      <c r="C791" s="679" t="s">
        <v>0</v>
      </c>
      <c r="D791" s="681" t="s">
        <v>23</v>
      </c>
      <c r="E791" s="681" t="s">
        <v>1830</v>
      </c>
      <c r="F791" s="683" t="s">
        <v>1006</v>
      </c>
      <c r="G791" s="685" t="s">
        <v>25</v>
      </c>
    </row>
    <row r="792" spans="1:7" ht="19.899999999999999" customHeight="1">
      <c r="A792" s="477" t="s">
        <v>576</v>
      </c>
      <c r="B792" s="477" t="s">
        <v>577</v>
      </c>
      <c r="C792" s="680"/>
      <c r="D792" s="682"/>
      <c r="E792" s="682"/>
      <c r="F792" s="684"/>
      <c r="G792" s="686"/>
    </row>
    <row r="793" spans="1:7" ht="19.899999999999999" customHeight="1">
      <c r="A793" s="515">
        <f t="shared" ref="A793:A796" si="255">IFERROR(VLOOKUP(C793,T_Insumos,4,FALSE),0)</f>
        <v>0</v>
      </c>
      <c r="B793" s="478">
        <f t="shared" ref="B793:B796" si="256">IFERROR(VLOOKUP(C793,T_Insumos,5,FALSE),0)</f>
        <v>0</v>
      </c>
      <c r="C793" s="482"/>
      <c r="D793" s="475"/>
      <c r="E793" s="472">
        <f t="shared" ref="E793:E796" si="257">IFERROR(VLOOKUP(C793,T_Insumos,3,FALSE),0)</f>
        <v>0</v>
      </c>
      <c r="F793" s="475">
        <f>IF(C793="",0,IFERROR(VLOOKUP(COUNTIF($A$1:A793,"ANALISIS DE PRECIOS"),T_Rendimiento_Equipo,5,FALSE),0))</f>
        <v>0</v>
      </c>
      <c r="G793" s="472">
        <f>IFERROR(ROUND(D793*E793/F793,2),0)</f>
        <v>0</v>
      </c>
    </row>
    <row r="794" spans="1:7" ht="19.899999999999999" customHeight="1">
      <c r="A794" s="515">
        <f t="shared" si="255"/>
        <v>0</v>
      </c>
      <c r="B794" s="478">
        <f t="shared" si="256"/>
        <v>0</v>
      </c>
      <c r="C794" s="469"/>
      <c r="D794" s="475"/>
      <c r="E794" s="472">
        <f t="shared" si="257"/>
        <v>0</v>
      </c>
      <c r="F794" s="475">
        <f>IF(C794="",0,IFERROR(VLOOKUP(COUNTIF($A$1:A794,"ANALISIS DE PRECIOS"),T_Rendimiento_Equipo,5,FALSE),0))</f>
        <v>0</v>
      </c>
      <c r="G794" s="472">
        <f t="shared" ref="G794:G799" si="258">IFERROR(ROUND(D794*E794/F794,2),0)</f>
        <v>0</v>
      </c>
    </row>
    <row r="795" spans="1:7" ht="19.899999999999999" customHeight="1">
      <c r="A795" s="515">
        <f t="shared" si="255"/>
        <v>0</v>
      </c>
      <c r="B795" s="478">
        <f t="shared" si="256"/>
        <v>0</v>
      </c>
      <c r="C795" s="469"/>
      <c r="D795" s="475"/>
      <c r="E795" s="472">
        <f t="shared" si="257"/>
        <v>0</v>
      </c>
      <c r="F795" s="475">
        <f>IF(C795="",0,IFERROR(VLOOKUP(COUNTIF($A$1:A795,"ANALISIS DE PRECIOS"),T_Rendimiento_Equipo,5,FALSE),0))</f>
        <v>0</v>
      </c>
      <c r="G795" s="472">
        <f t="shared" si="258"/>
        <v>0</v>
      </c>
    </row>
    <row r="796" spans="1:7" ht="19.899999999999999" customHeight="1">
      <c r="A796" s="515">
        <f t="shared" si="255"/>
        <v>0</v>
      </c>
      <c r="B796" s="478">
        <f t="shared" si="256"/>
        <v>0</v>
      </c>
      <c r="C796" s="469"/>
      <c r="D796" s="475"/>
      <c r="E796" s="472">
        <f t="shared" si="257"/>
        <v>0</v>
      </c>
      <c r="F796" s="475">
        <f>IF(C796="",0,IFERROR(VLOOKUP(COUNTIF($A$1:A796,"ANALISIS DE PRECIOS"),T_Rendimiento_Equipo,5,FALSE),0))</f>
        <v>0</v>
      </c>
      <c r="G796" s="472">
        <f t="shared" si="258"/>
        <v>0</v>
      </c>
    </row>
    <row r="797" spans="1:7" ht="19.899999999999999" customHeight="1">
      <c r="A797" s="515">
        <f t="shared" ref="A797:A799" si="259">IFERROR(VLOOKUP(C797,T_Insumos,4,FALSE),0)</f>
        <v>0</v>
      </c>
      <c r="B797" s="478">
        <f t="shared" ref="B797:B799" si="260">IFERROR(VLOOKUP(C797,T_Insumos,5,FALSE),0)</f>
        <v>0</v>
      </c>
      <c r="C797" s="469"/>
      <c r="D797" s="475"/>
      <c r="E797" s="472">
        <f t="shared" ref="E797:E799" si="261">IFERROR(VLOOKUP(C797,T_Insumos,3,FALSE),0)</f>
        <v>0</v>
      </c>
      <c r="F797" s="475">
        <f>IF(C797="",0,IFERROR(VLOOKUP(COUNTIF($A$1:A797,"ANALISIS DE PRECIOS"),T_Rendimiento_Equipo,5,FALSE),0))</f>
        <v>0</v>
      </c>
      <c r="G797" s="472">
        <f t="shared" si="258"/>
        <v>0</v>
      </c>
    </row>
    <row r="798" spans="1:7" ht="19.899999999999999" customHeight="1">
      <c r="A798" s="515">
        <f t="shared" si="259"/>
        <v>0</v>
      </c>
      <c r="B798" s="478">
        <f t="shared" si="260"/>
        <v>0</v>
      </c>
      <c r="C798" s="469"/>
      <c r="D798" s="483"/>
      <c r="E798" s="472">
        <f>SUMPRODUCT(D793:D796,E793:E796)</f>
        <v>0</v>
      </c>
      <c r="F798" s="475">
        <f>IF(C798="",0,IFERROR(VLOOKUP(COUNTIF($A$1:A798,"ANALISIS DE PRECIOS"),T_Rendimiento_Equipo,5,FALSE),0))</f>
        <v>0</v>
      </c>
      <c r="G798" s="472">
        <f t="shared" si="258"/>
        <v>0</v>
      </c>
    </row>
    <row r="799" spans="1:7" ht="19.899999999999999" customHeight="1">
      <c r="A799" s="515">
        <f t="shared" si="259"/>
        <v>0</v>
      </c>
      <c r="B799" s="478">
        <f t="shared" si="260"/>
        <v>0</v>
      </c>
      <c r="C799" s="478"/>
      <c r="D799" s="484"/>
      <c r="E799" s="472">
        <f t="shared" si="261"/>
        <v>0</v>
      </c>
      <c r="F799" s="475">
        <f>IF(C799="",0,IFERROR(VLOOKUP(COUNTIF($A$1:A799,"ANALISIS DE PRECIOS"),T_Rendimiento_Equipo,5,FALSE),0))</f>
        <v>0</v>
      </c>
      <c r="G799" s="472">
        <f t="shared" si="258"/>
        <v>0</v>
      </c>
    </row>
    <row r="800" spans="1:7" ht="19.899999999999999" customHeight="1">
      <c r="A800" s="516"/>
      <c r="B800" s="459"/>
      <c r="C800" s="163"/>
      <c r="D800" s="459"/>
      <c r="E800" s="460"/>
      <c r="F800" s="481" t="s">
        <v>27</v>
      </c>
      <c r="G800" s="518">
        <f>SUBTOTAL(9,G793:G799)</f>
        <v>0</v>
      </c>
    </row>
    <row r="801" spans="1:7" ht="19.899999999999999" customHeight="1">
      <c r="A801" s="513"/>
      <c r="B801" s="163"/>
      <c r="C801" s="455" t="s">
        <v>1013</v>
      </c>
      <c r="D801" s="459"/>
      <c r="E801" s="460"/>
      <c r="F801" s="461"/>
      <c r="G801" s="514"/>
    </row>
    <row r="802" spans="1:7" ht="19.899999999999999" customHeight="1">
      <c r="A802" s="677" t="s">
        <v>575</v>
      </c>
      <c r="B802" s="678"/>
      <c r="C802" s="679" t="s">
        <v>0</v>
      </c>
      <c r="D802" s="679" t="s">
        <v>1865</v>
      </c>
      <c r="E802" s="681" t="s">
        <v>23</v>
      </c>
      <c r="F802" s="683" t="s">
        <v>24</v>
      </c>
      <c r="G802" s="685" t="s">
        <v>25</v>
      </c>
    </row>
    <row r="803" spans="1:7" ht="19.899999999999999" customHeight="1">
      <c r="A803" s="477" t="s">
        <v>576</v>
      </c>
      <c r="B803" s="477" t="s">
        <v>577</v>
      </c>
      <c r="C803" s="680"/>
      <c r="D803" s="680"/>
      <c r="E803" s="682"/>
      <c r="F803" s="684"/>
      <c r="G803" s="686"/>
    </row>
    <row r="804" spans="1:7" ht="19.899999999999999" customHeight="1">
      <c r="A804" s="515">
        <f t="shared" ref="A804:A814" si="262">IFERROR(VLOOKUP(C804,T_Insumos,4,FALSE),0)</f>
        <v>0</v>
      </c>
      <c r="B804" s="478">
        <f t="shared" ref="B804:B814" si="263">IFERROR(VLOOKUP(C804,T_Insumos,5,FALSE),0)</f>
        <v>0</v>
      </c>
      <c r="C804" s="478"/>
      <c r="D804" s="526">
        <f t="shared" ref="D804:D814" si="264">IFERROR(VLOOKUP(C804,T_Insumos,2,FALSE),0)</f>
        <v>0</v>
      </c>
      <c r="E804" s="470"/>
      <c r="F804" s="472">
        <f t="shared" ref="F804:F814" si="265">IFERROR(VLOOKUP(C804,T_Insumos,3,FALSE),0)</f>
        <v>0</v>
      </c>
      <c r="G804" s="472">
        <f>ROUND(E804*F804,2)</f>
        <v>0</v>
      </c>
    </row>
    <row r="805" spans="1:7" ht="19.899999999999999" customHeight="1">
      <c r="A805" s="515">
        <f t="shared" si="262"/>
        <v>0</v>
      </c>
      <c r="B805" s="478">
        <f t="shared" si="263"/>
        <v>0</v>
      </c>
      <c r="C805" s="478"/>
      <c r="D805" s="526">
        <f t="shared" si="264"/>
        <v>0</v>
      </c>
      <c r="E805" s="470"/>
      <c r="F805" s="472">
        <f t="shared" si="265"/>
        <v>0</v>
      </c>
      <c r="G805" s="472">
        <f t="shared" ref="G805:G814" si="266">ROUND(E805*F805,2)</f>
        <v>0</v>
      </c>
    </row>
    <row r="806" spans="1:7" ht="19.899999999999999" customHeight="1">
      <c r="A806" s="515">
        <f t="shared" si="262"/>
        <v>0</v>
      </c>
      <c r="B806" s="478">
        <f t="shared" si="263"/>
        <v>0</v>
      </c>
      <c r="C806" s="478"/>
      <c r="D806" s="526">
        <f t="shared" si="264"/>
        <v>0</v>
      </c>
      <c r="E806" s="470"/>
      <c r="F806" s="472">
        <f t="shared" si="265"/>
        <v>0</v>
      </c>
      <c r="G806" s="472">
        <f t="shared" si="266"/>
        <v>0</v>
      </c>
    </row>
    <row r="807" spans="1:7" ht="19.899999999999999" customHeight="1">
      <c r="A807" s="515">
        <f t="shared" si="262"/>
        <v>0</v>
      </c>
      <c r="B807" s="478">
        <f t="shared" si="263"/>
        <v>0</v>
      </c>
      <c r="C807" s="478"/>
      <c r="D807" s="526">
        <f t="shared" si="264"/>
        <v>0</v>
      </c>
      <c r="E807" s="470"/>
      <c r="F807" s="472">
        <f t="shared" si="265"/>
        <v>0</v>
      </c>
      <c r="G807" s="472">
        <f t="shared" si="266"/>
        <v>0</v>
      </c>
    </row>
    <row r="808" spans="1:7" ht="19.899999999999999" customHeight="1">
      <c r="A808" s="515">
        <f t="shared" si="262"/>
        <v>0</v>
      </c>
      <c r="B808" s="478">
        <f t="shared" si="263"/>
        <v>0</v>
      </c>
      <c r="C808" s="478"/>
      <c r="D808" s="526">
        <f t="shared" si="264"/>
        <v>0</v>
      </c>
      <c r="E808" s="470"/>
      <c r="F808" s="472">
        <f t="shared" si="265"/>
        <v>0</v>
      </c>
      <c r="G808" s="472">
        <f t="shared" si="266"/>
        <v>0</v>
      </c>
    </row>
    <row r="809" spans="1:7" ht="19.899999999999999" customHeight="1">
      <c r="A809" s="515">
        <f t="shared" si="262"/>
        <v>0</v>
      </c>
      <c r="B809" s="478">
        <f t="shared" si="263"/>
        <v>0</v>
      </c>
      <c r="C809" s="478"/>
      <c r="D809" s="526">
        <f t="shared" si="264"/>
        <v>0</v>
      </c>
      <c r="E809" s="470"/>
      <c r="F809" s="472">
        <f t="shared" si="265"/>
        <v>0</v>
      </c>
      <c r="G809" s="472">
        <f t="shared" si="266"/>
        <v>0</v>
      </c>
    </row>
    <row r="810" spans="1:7" ht="19.899999999999999" customHeight="1">
      <c r="A810" s="515">
        <f t="shared" si="262"/>
        <v>0</v>
      </c>
      <c r="B810" s="478">
        <f t="shared" si="263"/>
        <v>0</v>
      </c>
      <c r="C810" s="478"/>
      <c r="D810" s="526">
        <f t="shared" si="264"/>
        <v>0</v>
      </c>
      <c r="E810" s="470"/>
      <c r="F810" s="472">
        <f t="shared" si="265"/>
        <v>0</v>
      </c>
      <c r="G810" s="472">
        <f t="shared" si="266"/>
        <v>0</v>
      </c>
    </row>
    <row r="811" spans="1:7" ht="19.899999999999999" customHeight="1">
      <c r="A811" s="515">
        <f t="shared" si="262"/>
        <v>0</v>
      </c>
      <c r="B811" s="478">
        <f t="shared" si="263"/>
        <v>0</v>
      </c>
      <c r="C811" s="478"/>
      <c r="D811" s="526">
        <f t="shared" si="264"/>
        <v>0</v>
      </c>
      <c r="E811" s="470"/>
      <c r="F811" s="472">
        <f t="shared" si="265"/>
        <v>0</v>
      </c>
      <c r="G811" s="472">
        <f t="shared" si="266"/>
        <v>0</v>
      </c>
    </row>
    <row r="812" spans="1:7" ht="19.899999999999999" customHeight="1">
      <c r="A812" s="515">
        <f t="shared" si="262"/>
        <v>0</v>
      </c>
      <c r="B812" s="478">
        <f t="shared" si="263"/>
        <v>0</v>
      </c>
      <c r="C812" s="478"/>
      <c r="D812" s="526">
        <f t="shared" si="264"/>
        <v>0</v>
      </c>
      <c r="E812" s="470"/>
      <c r="F812" s="472">
        <f t="shared" si="265"/>
        <v>0</v>
      </c>
      <c r="G812" s="472">
        <f t="shared" si="266"/>
        <v>0</v>
      </c>
    </row>
    <row r="813" spans="1:7" ht="19.899999999999999" customHeight="1">
      <c r="A813" s="515">
        <f t="shared" si="262"/>
        <v>0</v>
      </c>
      <c r="B813" s="478">
        <f t="shared" si="263"/>
        <v>0</v>
      </c>
      <c r="C813" s="478"/>
      <c r="D813" s="526">
        <f t="shared" si="264"/>
        <v>0</v>
      </c>
      <c r="E813" s="470"/>
      <c r="F813" s="472">
        <f t="shared" si="265"/>
        <v>0</v>
      </c>
      <c r="G813" s="472">
        <f t="shared" si="266"/>
        <v>0</v>
      </c>
    </row>
    <row r="814" spans="1:7" ht="19.899999999999999" customHeight="1">
      <c r="A814" s="515">
        <f t="shared" si="262"/>
        <v>0</v>
      </c>
      <c r="B814" s="478">
        <f t="shared" si="263"/>
        <v>0</v>
      </c>
      <c r="C814" s="478"/>
      <c r="D814" s="526">
        <f t="shared" si="264"/>
        <v>0</v>
      </c>
      <c r="E814" s="470"/>
      <c r="F814" s="472">
        <f t="shared" si="265"/>
        <v>0</v>
      </c>
      <c r="G814" s="472">
        <f t="shared" si="266"/>
        <v>0</v>
      </c>
    </row>
    <row r="815" spans="1:7" ht="19.899999999999999" customHeight="1">
      <c r="A815" s="513"/>
      <c r="B815" s="163"/>
      <c r="C815" s="163"/>
      <c r="D815" s="459"/>
      <c r="E815" s="460"/>
      <c r="F815" s="481" t="s">
        <v>28</v>
      </c>
      <c r="G815" s="518">
        <f>SUBTOTAL(9,G804:G814)</f>
        <v>0</v>
      </c>
    </row>
    <row r="816" spans="1:7" ht="19.899999999999999" customHeight="1">
      <c r="A816" s="513"/>
      <c r="B816" s="163"/>
      <c r="C816" s="455" t="s">
        <v>1014</v>
      </c>
      <c r="D816" s="459"/>
      <c r="E816" s="460"/>
      <c r="F816" s="461"/>
      <c r="G816" s="514"/>
    </row>
    <row r="817" spans="1:7" ht="19.899999999999999" customHeight="1">
      <c r="A817" s="677" t="s">
        <v>575</v>
      </c>
      <c r="B817" s="678"/>
      <c r="C817" s="679" t="s">
        <v>0</v>
      </c>
      <c r="D817" s="679" t="s">
        <v>1865</v>
      </c>
      <c r="E817" s="681" t="s">
        <v>23</v>
      </c>
      <c r="F817" s="683" t="s">
        <v>24</v>
      </c>
      <c r="G817" s="685" t="s">
        <v>25</v>
      </c>
    </row>
    <row r="818" spans="1:7" ht="19.899999999999999" customHeight="1">
      <c r="A818" s="477" t="s">
        <v>576</v>
      </c>
      <c r="B818" s="477" t="s">
        <v>577</v>
      </c>
      <c r="C818" s="680"/>
      <c r="D818" s="680"/>
      <c r="E818" s="682"/>
      <c r="F818" s="684"/>
      <c r="G818" s="686"/>
    </row>
    <row r="819" spans="1:7" ht="19.899999999999999" customHeight="1">
      <c r="A819" s="515">
        <f>IFERROR(VLOOKUP(C819,T_Insumos,4,FALSE),0)</f>
        <v>0</v>
      </c>
      <c r="B819" s="478">
        <f>IFERROR(VLOOKUP(C819,T_Insumos,5,FALSE),0)</f>
        <v>0</v>
      </c>
      <c r="C819" s="469"/>
      <c r="D819" s="526">
        <f>IF(C819=0,0,"$/tnkm")</f>
        <v>0</v>
      </c>
      <c r="E819" s="470"/>
      <c r="F819" s="472">
        <f>IFERROR(VLOOKUP(C819,T_Insumos,3,FALSE),0)</f>
        <v>0</v>
      </c>
      <c r="G819" s="472">
        <f>ROUND(E819*F819,2)</f>
        <v>0</v>
      </c>
    </row>
    <row r="820" spans="1:7" ht="19.899999999999999" customHeight="1">
      <c r="A820" s="515">
        <f>IFERROR(VLOOKUP(C820,T_Insumos,4,FALSE),0)</f>
        <v>0</v>
      </c>
      <c r="B820" s="478">
        <f>IFERROR(VLOOKUP(C820,T_Insumos,5,FALSE),0)</f>
        <v>0</v>
      </c>
      <c r="C820" s="469"/>
      <c r="D820" s="526">
        <f>IF(C820=0,0,"$/tnkm")</f>
        <v>0</v>
      </c>
      <c r="E820" s="486"/>
      <c r="F820" s="472">
        <f>IFERROR(VLOOKUP(C820,T_Insumos,3,FALSE),0)</f>
        <v>0</v>
      </c>
      <c r="G820" s="472">
        <f t="shared" ref="G820" si="267">ROUND(E820*F820,2)</f>
        <v>0</v>
      </c>
    </row>
    <row r="821" spans="1:7" ht="19.899999999999999" customHeight="1">
      <c r="A821" s="513"/>
      <c r="B821" s="163"/>
      <c r="C821" s="163"/>
      <c r="D821" s="459"/>
      <c r="E821" s="460"/>
      <c r="F821" s="481" t="s">
        <v>1015</v>
      </c>
      <c r="G821" s="518">
        <f>SUBTOTAL(9,G819:G820)</f>
        <v>0</v>
      </c>
    </row>
    <row r="822" spans="1:7" ht="19.899999999999999" customHeight="1">
      <c r="A822" s="516"/>
      <c r="B822" s="459"/>
      <c r="C822" s="163"/>
      <c r="D822" s="459"/>
      <c r="E822" s="460"/>
      <c r="F822" s="461"/>
      <c r="G822" s="514"/>
    </row>
    <row r="823" spans="1:7" ht="19.899999999999999" customHeight="1">
      <c r="A823" s="574" t="str">
        <f>B757</f>
        <v>3.4.2</v>
      </c>
      <c r="B823" s="571" t="str">
        <f ca="1">C757</f>
        <v>Mantenimiento grupo electrogeno existente</v>
      </c>
      <c r="C823" s="459"/>
      <c r="D823" s="459" t="s">
        <v>1831</v>
      </c>
      <c r="E823" s="572"/>
      <c r="F823" s="573" t="str">
        <f ca="1">"$/"&amp;G757</f>
        <v>$/gl.</v>
      </c>
      <c r="G823" s="523">
        <f>SUBTOTAL(9,G780:G822)</f>
        <v>0</v>
      </c>
    </row>
    <row r="824" spans="1:7" ht="19.899999999999999" customHeight="1">
      <c r="A824" s="519"/>
      <c r="B824" s="520"/>
      <c r="C824" s="521"/>
      <c r="D824" s="521" t="s">
        <v>2041</v>
      </c>
      <c r="E824" s="522"/>
      <c r="F824" s="575" t="str">
        <f ca="1">"$/"&amp;G757</f>
        <v>$/gl.</v>
      </c>
      <c r="G824" s="523">
        <f>ROUND(G823*Coeficiente_Paso,2)</f>
        <v>0</v>
      </c>
    </row>
    <row r="825" spans="1:7" ht="19.899999999999999" customHeight="1">
      <c r="A825" s="163"/>
      <c r="B825" s="163"/>
      <c r="C825" s="163"/>
      <c r="D825" s="163"/>
      <c r="E825" s="163"/>
      <c r="F825" s="163"/>
      <c r="G825" s="163"/>
    </row>
    <row r="826" spans="1:7" ht="19.899999999999999" customHeight="1">
      <c r="A826" s="687" t="s">
        <v>30</v>
      </c>
      <c r="B826" s="688"/>
      <c r="C826" s="688"/>
      <c r="D826" s="688"/>
      <c r="E826" s="688"/>
      <c r="F826" s="688"/>
      <c r="G826" s="689"/>
    </row>
    <row r="827" spans="1:7" ht="19.899999999999999" customHeight="1">
      <c r="A827" s="502" t="s">
        <v>710</v>
      </c>
      <c r="B827" s="453" t="str">
        <f>Comitente</f>
        <v>DEPARTAMENTO DE HIDRAULICA</v>
      </c>
      <c r="C827" s="454"/>
      <c r="D827" s="455"/>
      <c r="E827" s="455"/>
      <c r="F827" s="456"/>
      <c r="G827" s="503"/>
    </row>
    <row r="828" spans="1:7" ht="19.899999999999999" customHeight="1">
      <c r="A828" s="502" t="s">
        <v>711</v>
      </c>
      <c r="B828" s="453">
        <f>Contratista</f>
        <v>0</v>
      </c>
      <c r="C828" s="457"/>
      <c r="D828" s="457"/>
      <c r="E828" s="457"/>
      <c r="F828" s="453"/>
      <c r="G828" s="504"/>
    </row>
    <row r="829" spans="1:7" ht="19.899999999999999" customHeight="1">
      <c r="A829" s="502" t="s">
        <v>20</v>
      </c>
      <c r="B829" s="453" t="str">
        <f>Obra</f>
        <v>MEJORA DE LA RED DE RIEGO DEL VALLE DE JÁCHAL</v>
      </c>
      <c r="C829" s="457"/>
      <c r="D829" s="457"/>
      <c r="E829" s="457"/>
      <c r="F829" s="453" t="s">
        <v>31</v>
      </c>
      <c r="G829" s="504" t="str">
        <f>Fecha_Base</f>
        <v>XX/07/2020</v>
      </c>
    </row>
    <row r="830" spans="1:7" ht="19.899999999999999" customHeight="1">
      <c r="A830" s="505" t="s">
        <v>709</v>
      </c>
      <c r="B830" s="458" t="str">
        <f>Ubicación</f>
        <v>JACHAL</v>
      </c>
      <c r="C830" s="458"/>
      <c r="D830" s="459"/>
      <c r="E830" s="460"/>
      <c r="F830" s="461"/>
      <c r="G830" s="506"/>
    </row>
    <row r="831" spans="1:7" ht="19.899999999999999" customHeight="1">
      <c r="A831" s="505" t="s">
        <v>32</v>
      </c>
      <c r="B831" s="462">
        <f>IFERROR(VALUE(LEFT(B832,FIND(".",B832)-1)),"")</f>
        <v>3</v>
      </c>
      <c r="C831" s="163" t="str">
        <f ca="1">IFERROR(VLOOKUP(B831,T_Computo_Presupuesto,2,FALSE),0)</f>
        <v>AZUD PACHIMOCO</v>
      </c>
      <c r="D831" s="163"/>
      <c r="E831" s="460"/>
      <c r="F831" s="461"/>
      <c r="G831" s="506"/>
    </row>
    <row r="832" spans="1:7" ht="19.899999999999999" customHeight="1">
      <c r="A832" s="505" t="s">
        <v>21</v>
      </c>
      <c r="B832" s="463" t="str">
        <f>IFERROR(VLOOKUP(COUNTIF($A$1:A832,"ANALISIS DE PRECIOS"),T_NumeroItem,2,FALSE),"")</f>
        <v>3.4.3</v>
      </c>
      <c r="C832" s="690" t="str">
        <f ca="1">IFERROR(VLOOKUP(B832,T_Computo_Presupuesto,2,FALSE),0)</f>
        <v>Pararrayos</v>
      </c>
      <c r="D832" s="690"/>
      <c r="E832" s="690"/>
      <c r="F832" s="458" t="s">
        <v>22</v>
      </c>
      <c r="G832" s="507" t="str">
        <f ca="1">IFERROR(VLOOKUP(B832,T_Computo_Presupuesto,4,FALSE),0)</f>
        <v>gl.</v>
      </c>
    </row>
    <row r="833" spans="1:7" ht="19.899999999999999" customHeight="1">
      <c r="A833" s="505"/>
      <c r="B833" s="458"/>
      <c r="C833" s="163"/>
      <c r="D833" s="459"/>
      <c r="E833" s="460"/>
      <c r="F833" s="163"/>
      <c r="G833" s="508"/>
    </row>
    <row r="834" spans="1:7" ht="19.899999999999999" customHeight="1">
      <c r="A834" s="509"/>
      <c r="B834" s="464"/>
      <c r="C834" s="465" t="s">
        <v>998</v>
      </c>
      <c r="D834" s="464"/>
      <c r="E834" s="464"/>
      <c r="F834" s="464"/>
      <c r="G834" s="510"/>
    </row>
    <row r="835" spans="1:7" ht="19.899999999999999" customHeight="1">
      <c r="A835" s="505"/>
      <c r="B835" s="466"/>
      <c r="C835" s="163"/>
      <c r="D835" s="459"/>
      <c r="E835" s="460"/>
      <c r="F835" s="458"/>
      <c r="G835" s="507"/>
    </row>
    <row r="836" spans="1:7" ht="19.899999999999999" customHeight="1">
      <c r="A836" s="505"/>
      <c r="B836" s="466"/>
      <c r="C836" s="467" t="s">
        <v>999</v>
      </c>
      <c r="D836" s="468" t="s">
        <v>23</v>
      </c>
      <c r="E836" s="468" t="s">
        <v>1000</v>
      </c>
      <c r="F836" s="468" t="s">
        <v>1001</v>
      </c>
      <c r="G836" s="467" t="s">
        <v>1002</v>
      </c>
    </row>
    <row r="837" spans="1:7" ht="19.899999999999999" customHeight="1">
      <c r="A837" s="505"/>
      <c r="B837" s="466"/>
      <c r="C837" s="469"/>
      <c r="D837" s="470"/>
      <c r="E837" s="471">
        <f t="shared" ref="E837:E840" si="268">IFERROR(VLOOKUP(C837,T_Equipos,4,FALSE),0)</f>
        <v>0</v>
      </c>
      <c r="F837" s="472">
        <f t="shared" ref="F837:F840" si="269">IFERROR(VLOOKUP(C837,T_Equipos,5,FALSE),0)</f>
        <v>0</v>
      </c>
      <c r="G837" s="472">
        <f>ROUND(D837*F837,2)</f>
        <v>0</v>
      </c>
    </row>
    <row r="838" spans="1:7" ht="19.899999999999999" customHeight="1">
      <c r="A838" s="505"/>
      <c r="B838" s="466"/>
      <c r="C838" s="469"/>
      <c r="D838" s="470"/>
      <c r="E838" s="471">
        <f t="shared" si="268"/>
        <v>0</v>
      </c>
      <c r="F838" s="472">
        <f t="shared" si="269"/>
        <v>0</v>
      </c>
      <c r="G838" s="472">
        <f>ROUND(D838*F838,2)</f>
        <v>0</v>
      </c>
    </row>
    <row r="839" spans="1:7" ht="19.899999999999999" customHeight="1">
      <c r="A839" s="505"/>
      <c r="B839" s="466"/>
      <c r="C839" s="469"/>
      <c r="D839" s="470"/>
      <c r="E839" s="471">
        <f t="shared" si="268"/>
        <v>0</v>
      </c>
      <c r="F839" s="472">
        <f t="shared" si="269"/>
        <v>0</v>
      </c>
      <c r="G839" s="472">
        <f>ROUND(D839*F839,2)</f>
        <v>0</v>
      </c>
    </row>
    <row r="840" spans="1:7" ht="19.899999999999999" customHeight="1">
      <c r="A840" s="505"/>
      <c r="B840" s="466"/>
      <c r="C840" s="469"/>
      <c r="D840" s="470"/>
      <c r="E840" s="471">
        <f t="shared" si="268"/>
        <v>0</v>
      </c>
      <c r="F840" s="472">
        <f t="shared" si="269"/>
        <v>0</v>
      </c>
      <c r="G840" s="472">
        <f>ROUND(D840*F840,2)</f>
        <v>0</v>
      </c>
    </row>
    <row r="841" spans="1:7" ht="19.899999999999999" customHeight="1">
      <c r="A841" s="505"/>
      <c r="B841" s="466"/>
      <c r="C841" s="469"/>
      <c r="D841" s="470"/>
      <c r="E841" s="471">
        <f t="shared" ref="E841:E846" si="270">IFERROR(VLOOKUP(C841,T_Equipos,4,FALSE),0)</f>
        <v>0</v>
      </c>
      <c r="F841" s="472">
        <f t="shared" ref="F841:F846" si="271">IFERROR(VLOOKUP(C841,T_Equipos,5,FALSE),0)</f>
        <v>0</v>
      </c>
      <c r="G841" s="472">
        <f t="shared" ref="G841:G846" si="272">ROUND(D841*F841,2)</f>
        <v>0</v>
      </c>
    </row>
    <row r="842" spans="1:7" ht="19.899999999999999" customHeight="1">
      <c r="A842" s="505"/>
      <c r="B842" s="466"/>
      <c r="C842" s="469"/>
      <c r="D842" s="470"/>
      <c r="E842" s="471">
        <f t="shared" si="270"/>
        <v>0</v>
      </c>
      <c r="F842" s="472">
        <f t="shared" si="271"/>
        <v>0</v>
      </c>
      <c r="G842" s="472">
        <f t="shared" si="272"/>
        <v>0</v>
      </c>
    </row>
    <row r="843" spans="1:7" ht="19.899999999999999" customHeight="1">
      <c r="A843" s="505"/>
      <c r="B843" s="466"/>
      <c r="C843" s="469"/>
      <c r="D843" s="470"/>
      <c r="E843" s="471">
        <f t="shared" si="270"/>
        <v>0</v>
      </c>
      <c r="F843" s="472">
        <f t="shared" si="271"/>
        <v>0</v>
      </c>
      <c r="G843" s="472">
        <f t="shared" si="272"/>
        <v>0</v>
      </c>
    </row>
    <row r="844" spans="1:7" ht="19.899999999999999" customHeight="1">
      <c r="A844" s="505"/>
      <c r="B844" s="466"/>
      <c r="C844" s="469"/>
      <c r="D844" s="470"/>
      <c r="E844" s="471">
        <f t="shared" si="270"/>
        <v>0</v>
      </c>
      <c r="F844" s="472">
        <f t="shared" si="271"/>
        <v>0</v>
      </c>
      <c r="G844" s="472">
        <f t="shared" si="272"/>
        <v>0</v>
      </c>
    </row>
    <row r="845" spans="1:7" ht="19.899999999999999" customHeight="1">
      <c r="A845" s="505"/>
      <c r="B845" s="466"/>
      <c r="C845" s="469"/>
      <c r="D845" s="470"/>
      <c r="E845" s="471">
        <f t="shared" si="270"/>
        <v>0</v>
      </c>
      <c r="F845" s="472">
        <f t="shared" si="271"/>
        <v>0</v>
      </c>
      <c r="G845" s="472">
        <f t="shared" si="272"/>
        <v>0</v>
      </c>
    </row>
    <row r="846" spans="1:7" ht="19.899999999999999" customHeight="1">
      <c r="A846" s="505"/>
      <c r="B846" s="466"/>
      <c r="C846" s="469"/>
      <c r="D846" s="470"/>
      <c r="E846" s="471">
        <f t="shared" si="270"/>
        <v>0</v>
      </c>
      <c r="F846" s="472">
        <f t="shared" si="271"/>
        <v>0</v>
      </c>
      <c r="G846" s="472">
        <f t="shared" si="272"/>
        <v>0</v>
      </c>
    </row>
    <row r="847" spans="1:7" ht="19.899999999999999" customHeight="1">
      <c r="A847" s="505"/>
      <c r="B847" s="466"/>
      <c r="C847" s="163"/>
      <c r="D847" s="163"/>
      <c r="E847" s="473"/>
      <c r="F847" s="458"/>
      <c r="G847" s="507"/>
    </row>
    <row r="848" spans="1:7" ht="19.899999999999999" customHeight="1">
      <c r="A848" s="505"/>
      <c r="B848" s="163"/>
      <c r="C848" s="455" t="s">
        <v>1003</v>
      </c>
      <c r="D848" s="458" t="s">
        <v>1000</v>
      </c>
      <c r="E848" s="524">
        <f>SUMPRODUCT(D837:D846,E837:E846)</f>
        <v>0</v>
      </c>
      <c r="F848" s="458" t="s">
        <v>1004</v>
      </c>
      <c r="G848" s="525">
        <f>SUM(G837:G846)</f>
        <v>0</v>
      </c>
    </row>
    <row r="849" spans="1:7" ht="19.899999999999999" customHeight="1">
      <c r="A849" s="505"/>
      <c r="B849" s="466"/>
      <c r="C849" s="474"/>
      <c r="D849" s="473"/>
      <c r="E849" s="460"/>
      <c r="F849" s="458"/>
      <c r="G849" s="511"/>
    </row>
    <row r="850" spans="1:7" ht="19.899999999999999" customHeight="1">
      <c r="A850" s="512"/>
      <c r="B850" s="466"/>
      <c r="C850" s="458" t="s">
        <v>1005</v>
      </c>
      <c r="D850" s="475"/>
      <c r="E850" s="476" t="str">
        <f ca="1">G832&amp;"/día"</f>
        <v>gl./día</v>
      </c>
      <c r="F850" s="452"/>
      <c r="G850" s="507"/>
    </row>
    <row r="851" spans="1:7" ht="19.899999999999999" customHeight="1">
      <c r="A851" s="505"/>
      <c r="B851" s="466"/>
      <c r="C851" s="163"/>
      <c r="D851" s="459"/>
      <c r="E851" s="460"/>
      <c r="F851" s="458"/>
      <c r="G851" s="507"/>
    </row>
    <row r="852" spans="1:7" ht="19.899999999999999" customHeight="1">
      <c r="A852" s="677" t="s">
        <v>575</v>
      </c>
      <c r="B852" s="678"/>
      <c r="C852" s="679" t="s">
        <v>0</v>
      </c>
      <c r="D852" s="691" t="s">
        <v>1864</v>
      </c>
      <c r="E852" s="691" t="s">
        <v>1863</v>
      </c>
      <c r="F852" s="683" t="s">
        <v>1006</v>
      </c>
      <c r="G852" s="685" t="s">
        <v>25</v>
      </c>
    </row>
    <row r="853" spans="1:7" ht="19.899999999999999" customHeight="1">
      <c r="A853" s="477" t="s">
        <v>576</v>
      </c>
      <c r="B853" s="477" t="s">
        <v>577</v>
      </c>
      <c r="C853" s="680"/>
      <c r="D853" s="692"/>
      <c r="E853" s="682"/>
      <c r="F853" s="684"/>
      <c r="G853" s="686"/>
    </row>
    <row r="854" spans="1:7" ht="19.899999999999999" customHeight="1">
      <c r="A854" s="513"/>
      <c r="B854" s="163"/>
      <c r="C854" s="455" t="s">
        <v>1007</v>
      </c>
      <c r="D854" s="460"/>
      <c r="E854" s="460"/>
      <c r="F854" s="163"/>
      <c r="G854" s="514"/>
    </row>
    <row r="855" spans="1:7" ht="19.899999999999999" customHeight="1">
      <c r="A855" s="515">
        <f t="shared" ref="A855:A863" si="273">IFERROR(VLOOKUP(C855,T_Insumos,4,FALSE),0)</f>
        <v>0</v>
      </c>
      <c r="B855" s="478">
        <f t="shared" ref="B855:B863" si="274">IFERROR(VLOOKUP(C855,T_Insumos,5,FALSE),0)</f>
        <v>0</v>
      </c>
      <c r="C855" s="469"/>
      <c r="D855" s="479">
        <f t="shared" ref="D855:D858" si="275">IFERROR(VLOOKUP(C855,T_Insumos,3,FALSE),0)</f>
        <v>0</v>
      </c>
      <c r="E855" s="472">
        <f>D855*$G$848</f>
        <v>0</v>
      </c>
      <c r="F855" s="475">
        <f>IF(C855="",0,IFERROR(VLOOKUP(COUNTIF($A$1:A855,"ANALISIS DE PRECIOS"),T_Rendimiento_Equipo,5,FALSE),0))</f>
        <v>0</v>
      </c>
      <c r="G855" s="472">
        <f>IFERROR(ROUND(E855/F855,2),0)</f>
        <v>0</v>
      </c>
    </row>
    <row r="856" spans="1:7" ht="19.899999999999999" customHeight="1">
      <c r="A856" s="515"/>
      <c r="B856" s="478"/>
      <c r="C856" s="469"/>
      <c r="D856" s="479">
        <f t="shared" si="275"/>
        <v>0</v>
      </c>
      <c r="E856" s="472">
        <f t="shared" ref="E856:E863" si="276">D856*$G$848</f>
        <v>0</v>
      </c>
      <c r="F856" s="475">
        <f>IF(C856="",0,IFERROR(VLOOKUP(COUNTIF($A$1:A856,"ANALISIS DE PRECIOS"),T_Rendimiento_Equipo,5,FALSE),0))</f>
        <v>0</v>
      </c>
      <c r="G856" s="472">
        <f t="shared" ref="G856:G863" si="277">IFERROR(ROUND(E856/F856,2),0)</f>
        <v>0</v>
      </c>
    </row>
    <row r="857" spans="1:7" ht="19.899999999999999" customHeight="1">
      <c r="A857" s="515">
        <f t="shared" si="273"/>
        <v>0</v>
      </c>
      <c r="B857" s="478">
        <f t="shared" si="274"/>
        <v>0</v>
      </c>
      <c r="C857" s="480"/>
      <c r="D857" s="479">
        <f t="shared" si="275"/>
        <v>0</v>
      </c>
      <c r="E857" s="472">
        <f t="shared" si="276"/>
        <v>0</v>
      </c>
      <c r="F857" s="475">
        <f>IF(C857="",0,IFERROR(VLOOKUP(COUNTIF($A$1:A857,"ANALISIS DE PRECIOS"),T_Rendimiento_Equipo,5,FALSE),0))</f>
        <v>0</v>
      </c>
      <c r="G857" s="472">
        <f t="shared" si="277"/>
        <v>0</v>
      </c>
    </row>
    <row r="858" spans="1:7" ht="19.899999999999999" customHeight="1">
      <c r="A858" s="515">
        <f t="shared" si="273"/>
        <v>0</v>
      </c>
      <c r="B858" s="478">
        <f t="shared" si="274"/>
        <v>0</v>
      </c>
      <c r="C858" s="480"/>
      <c r="D858" s="479">
        <f t="shared" si="275"/>
        <v>0</v>
      </c>
      <c r="E858" s="472">
        <f t="shared" si="276"/>
        <v>0</v>
      </c>
      <c r="F858" s="475">
        <f>IF(C858="",0,IFERROR(VLOOKUP(COUNTIF($A$1:A858,"ANALISIS DE PRECIOS"),T_Rendimiento_Equipo,5,FALSE),0))</f>
        <v>0</v>
      </c>
      <c r="G858" s="472">
        <f t="shared" si="277"/>
        <v>0</v>
      </c>
    </row>
    <row r="859" spans="1:7" ht="19.899999999999999" customHeight="1">
      <c r="A859" s="515">
        <f t="shared" si="273"/>
        <v>0</v>
      </c>
      <c r="B859" s="478">
        <f t="shared" si="274"/>
        <v>0</v>
      </c>
      <c r="C859" s="480"/>
      <c r="D859" s="479">
        <f t="shared" ref="D859:D863" si="278">IFERROR(VLOOKUP(C859,T_Insumos,3,FALSE),0)</f>
        <v>0</v>
      </c>
      <c r="E859" s="472">
        <f t="shared" si="276"/>
        <v>0</v>
      </c>
      <c r="F859" s="475">
        <f>IF(C859="",0,IFERROR(VLOOKUP(COUNTIF($A$1:A859,"ANALISIS DE PRECIOS"),T_Rendimiento_Equipo,5,FALSE),0))</f>
        <v>0</v>
      </c>
      <c r="G859" s="472">
        <f t="shared" si="277"/>
        <v>0</v>
      </c>
    </row>
    <row r="860" spans="1:7" ht="19.899999999999999" customHeight="1">
      <c r="A860" s="515">
        <f t="shared" si="273"/>
        <v>0</v>
      </c>
      <c r="B860" s="478">
        <f t="shared" si="274"/>
        <v>0</v>
      </c>
      <c r="C860" s="480"/>
      <c r="D860" s="479">
        <f t="shared" si="278"/>
        <v>0</v>
      </c>
      <c r="E860" s="472">
        <f t="shared" si="276"/>
        <v>0</v>
      </c>
      <c r="F860" s="475">
        <f>IF(C860="",0,IFERROR(VLOOKUP(COUNTIF($A$1:A860,"ANALISIS DE PRECIOS"),T_Rendimiento_Equipo,5,FALSE),0))</f>
        <v>0</v>
      </c>
      <c r="G860" s="472">
        <f t="shared" si="277"/>
        <v>0</v>
      </c>
    </row>
    <row r="861" spans="1:7" ht="19.899999999999999" customHeight="1">
      <c r="A861" s="515">
        <f t="shared" si="273"/>
        <v>0</v>
      </c>
      <c r="B861" s="478">
        <f t="shared" si="274"/>
        <v>0</v>
      </c>
      <c r="C861" s="480"/>
      <c r="D861" s="479">
        <f t="shared" si="278"/>
        <v>0</v>
      </c>
      <c r="E861" s="472">
        <f t="shared" si="276"/>
        <v>0</v>
      </c>
      <c r="F861" s="475">
        <f>IF(C861="",0,IFERROR(VLOOKUP(COUNTIF($A$1:A861,"ANALISIS DE PRECIOS"),T_Rendimiento_Equipo,5,FALSE),0))</f>
        <v>0</v>
      </c>
      <c r="G861" s="472">
        <f t="shared" si="277"/>
        <v>0</v>
      </c>
    </row>
    <row r="862" spans="1:7" ht="19.899999999999999" customHeight="1">
      <c r="A862" s="515">
        <f t="shared" si="273"/>
        <v>0</v>
      </c>
      <c r="B862" s="478">
        <f t="shared" si="274"/>
        <v>0</v>
      </c>
      <c r="C862" s="480"/>
      <c r="D862" s="479">
        <f t="shared" si="278"/>
        <v>0</v>
      </c>
      <c r="E862" s="472">
        <f t="shared" si="276"/>
        <v>0</v>
      </c>
      <c r="F862" s="475">
        <f>IF(C862="",0,IFERROR(VLOOKUP(COUNTIF($A$1:A862,"ANALISIS DE PRECIOS"),T_Rendimiento_Equipo,5,FALSE),0))</f>
        <v>0</v>
      </c>
      <c r="G862" s="472">
        <f t="shared" si="277"/>
        <v>0</v>
      </c>
    </row>
    <row r="863" spans="1:7" ht="19.899999999999999" customHeight="1">
      <c r="A863" s="515">
        <f t="shared" si="273"/>
        <v>0</v>
      </c>
      <c r="B863" s="478">
        <f t="shared" si="274"/>
        <v>0</v>
      </c>
      <c r="C863" s="469"/>
      <c r="D863" s="479">
        <f t="shared" si="278"/>
        <v>0</v>
      </c>
      <c r="E863" s="472">
        <f t="shared" si="276"/>
        <v>0</v>
      </c>
      <c r="F863" s="475">
        <f>IF(C863="",0,IFERROR(VLOOKUP(COUNTIF($A$1:A863,"ANALISIS DE PRECIOS"),T_Rendimiento_Equipo,5,FALSE),0))</f>
        <v>0</v>
      </c>
      <c r="G863" s="472">
        <f t="shared" si="277"/>
        <v>0</v>
      </c>
    </row>
    <row r="864" spans="1:7" ht="19.899999999999999" customHeight="1">
      <c r="A864" s="516"/>
      <c r="B864" s="459"/>
      <c r="C864" s="163"/>
      <c r="D864" s="459"/>
      <c r="E864" s="460"/>
      <c r="F864" s="481" t="s">
        <v>26</v>
      </c>
      <c r="G864" s="517">
        <f>SUBTOTAL(9,G855:G863)</f>
        <v>0</v>
      </c>
    </row>
    <row r="865" spans="1:7" ht="19.899999999999999" customHeight="1">
      <c r="A865" s="513"/>
      <c r="B865" s="163"/>
      <c r="C865" s="455" t="s">
        <v>712</v>
      </c>
      <c r="D865" s="459"/>
      <c r="E865" s="460"/>
      <c r="F865" s="461"/>
      <c r="G865" s="514"/>
    </row>
    <row r="866" spans="1:7" ht="19.899999999999999" customHeight="1">
      <c r="A866" s="677" t="s">
        <v>575</v>
      </c>
      <c r="B866" s="678"/>
      <c r="C866" s="679" t="s">
        <v>0</v>
      </c>
      <c r="D866" s="681" t="s">
        <v>23</v>
      </c>
      <c r="E866" s="681" t="s">
        <v>1830</v>
      </c>
      <c r="F866" s="683" t="s">
        <v>1006</v>
      </c>
      <c r="G866" s="685" t="s">
        <v>25</v>
      </c>
    </row>
    <row r="867" spans="1:7" ht="19.899999999999999" customHeight="1">
      <c r="A867" s="477" t="s">
        <v>576</v>
      </c>
      <c r="B867" s="477" t="s">
        <v>577</v>
      </c>
      <c r="C867" s="680"/>
      <c r="D867" s="682"/>
      <c r="E867" s="682"/>
      <c r="F867" s="684"/>
      <c r="G867" s="686"/>
    </row>
    <row r="868" spans="1:7" ht="19.899999999999999" customHeight="1">
      <c r="A868" s="515">
        <f t="shared" ref="A868:A873" si="279">IFERROR(VLOOKUP(C868,T_Insumos,4,FALSE),0)</f>
        <v>0</v>
      </c>
      <c r="B868" s="478">
        <f t="shared" ref="B868:B873" si="280">IFERROR(VLOOKUP(C868,T_Insumos,5,FALSE),0)</f>
        <v>0</v>
      </c>
      <c r="C868" s="482"/>
      <c r="D868" s="475"/>
      <c r="E868" s="472">
        <f t="shared" ref="E868:E872" si="281">SUMPRODUCT(D863:D866,E863:E866)</f>
        <v>0</v>
      </c>
      <c r="F868" s="475">
        <f>IF(C868="",0,IFERROR(VLOOKUP(COUNTIF($A$1:A868,"ANALISIS DE PRECIOS"),T_Rendimiento_Equipo,5,FALSE),0))</f>
        <v>0</v>
      </c>
      <c r="G868" s="472">
        <f>IFERROR(ROUND(D868*E868/F868,2),0)</f>
        <v>0</v>
      </c>
    </row>
    <row r="869" spans="1:7" ht="19.899999999999999" customHeight="1">
      <c r="A869" s="515">
        <f t="shared" si="279"/>
        <v>0</v>
      </c>
      <c r="B869" s="478">
        <f t="shared" si="280"/>
        <v>0</v>
      </c>
      <c r="C869" s="469"/>
      <c r="D869" s="475"/>
      <c r="E869" s="472">
        <f t="shared" si="281"/>
        <v>0</v>
      </c>
      <c r="F869" s="475">
        <f>IF(C869="",0,IFERROR(VLOOKUP(COUNTIF($A$1:A869,"ANALISIS DE PRECIOS"),T_Rendimiento_Equipo,5,FALSE),0))</f>
        <v>0</v>
      </c>
      <c r="G869" s="472">
        <f t="shared" ref="G869:G874" si="282">IFERROR(ROUND(D869*E869/F869,2),0)</f>
        <v>0</v>
      </c>
    </row>
    <row r="870" spans="1:7" ht="19.899999999999999" customHeight="1">
      <c r="A870" s="515">
        <f t="shared" si="279"/>
        <v>0</v>
      </c>
      <c r="B870" s="478">
        <f t="shared" si="280"/>
        <v>0</v>
      </c>
      <c r="C870" s="469"/>
      <c r="D870" s="475"/>
      <c r="E870" s="472">
        <f t="shared" si="281"/>
        <v>0</v>
      </c>
      <c r="F870" s="475">
        <f>IF(C870="",0,IFERROR(VLOOKUP(COUNTIF($A$1:A870,"ANALISIS DE PRECIOS"),T_Rendimiento_Equipo,5,FALSE),0))</f>
        <v>0</v>
      </c>
      <c r="G870" s="472">
        <f t="shared" si="282"/>
        <v>0</v>
      </c>
    </row>
    <row r="871" spans="1:7" ht="19.899999999999999" customHeight="1">
      <c r="A871" s="515">
        <f t="shared" si="279"/>
        <v>0</v>
      </c>
      <c r="B871" s="478">
        <f t="shared" si="280"/>
        <v>0</v>
      </c>
      <c r="C871" s="469"/>
      <c r="D871" s="475"/>
      <c r="E871" s="472">
        <f t="shared" si="281"/>
        <v>0</v>
      </c>
      <c r="F871" s="475">
        <f>IF(C871="",0,IFERROR(VLOOKUP(COUNTIF($A$1:A871,"ANALISIS DE PRECIOS"),T_Rendimiento_Equipo,5,FALSE),0))</f>
        <v>0</v>
      </c>
      <c r="G871" s="472">
        <f t="shared" si="282"/>
        <v>0</v>
      </c>
    </row>
    <row r="872" spans="1:7" ht="19.899999999999999" customHeight="1">
      <c r="A872" s="515">
        <f t="shared" si="279"/>
        <v>0</v>
      </c>
      <c r="B872" s="478">
        <f t="shared" si="280"/>
        <v>0</v>
      </c>
      <c r="C872" s="469"/>
      <c r="D872" s="475"/>
      <c r="E872" s="472">
        <f t="shared" si="281"/>
        <v>0</v>
      </c>
      <c r="F872" s="475">
        <f>IF(C872="",0,IFERROR(VLOOKUP(COUNTIF($A$1:A872,"ANALISIS DE PRECIOS"),T_Rendimiento_Equipo,5,FALSE),0))</f>
        <v>0</v>
      </c>
      <c r="G872" s="472">
        <f t="shared" si="282"/>
        <v>0</v>
      </c>
    </row>
    <row r="873" spans="1:7" ht="19.899999999999999" customHeight="1">
      <c r="A873" s="515">
        <f t="shared" si="279"/>
        <v>0</v>
      </c>
      <c r="B873" s="478">
        <f t="shared" si="280"/>
        <v>0</v>
      </c>
      <c r="C873" s="469"/>
      <c r="D873" s="483"/>
      <c r="E873" s="472">
        <f>SUMPRODUCT(D868:D871,E868:E871)</f>
        <v>0</v>
      </c>
      <c r="F873" s="475">
        <f>IF(C873="",0,IFERROR(VLOOKUP(COUNTIF($A$1:A873,"ANALISIS DE PRECIOS"),T_Rendimiento_Equipo,5,FALSE),0))</f>
        <v>0</v>
      </c>
      <c r="G873" s="472">
        <f t="shared" si="282"/>
        <v>0</v>
      </c>
    </row>
    <row r="874" spans="1:7" ht="19.899999999999999" customHeight="1">
      <c r="A874" s="515">
        <f t="shared" ref="A874" si="283">IFERROR(VLOOKUP(C874,T_Insumos,4,FALSE),0)</f>
        <v>0</v>
      </c>
      <c r="B874" s="478">
        <f t="shared" ref="B874" si="284">IFERROR(VLOOKUP(C874,T_Insumos,5,FALSE),0)</f>
        <v>0</v>
      </c>
      <c r="C874" s="478"/>
      <c r="D874" s="484"/>
      <c r="E874" s="472">
        <f t="shared" ref="E874" si="285">IFERROR(VLOOKUP(C874,T_Insumos,3,FALSE),0)</f>
        <v>0</v>
      </c>
      <c r="F874" s="475">
        <f>IF(C874="",0,IFERROR(VLOOKUP(COUNTIF($A$1:A874,"ANALISIS DE PRECIOS"),T_Rendimiento_Equipo,5,FALSE),0))</f>
        <v>0</v>
      </c>
      <c r="G874" s="472">
        <f t="shared" si="282"/>
        <v>0</v>
      </c>
    </row>
    <row r="875" spans="1:7" ht="19.899999999999999" customHeight="1">
      <c r="A875" s="516"/>
      <c r="B875" s="459"/>
      <c r="C875" s="163"/>
      <c r="D875" s="459"/>
      <c r="E875" s="460"/>
      <c r="F875" s="481" t="s">
        <v>27</v>
      </c>
      <c r="G875" s="518">
        <f>SUBTOTAL(9,G868:G874)</f>
        <v>0</v>
      </c>
    </row>
    <row r="876" spans="1:7" ht="19.899999999999999" customHeight="1">
      <c r="A876" s="513"/>
      <c r="B876" s="163"/>
      <c r="C876" s="455" t="s">
        <v>1013</v>
      </c>
      <c r="D876" s="459"/>
      <c r="E876" s="460"/>
      <c r="F876" s="461"/>
      <c r="G876" s="514"/>
    </row>
    <row r="877" spans="1:7" ht="19.899999999999999" customHeight="1">
      <c r="A877" s="677" t="s">
        <v>575</v>
      </c>
      <c r="B877" s="678"/>
      <c r="C877" s="679" t="s">
        <v>0</v>
      </c>
      <c r="D877" s="679" t="s">
        <v>1865</v>
      </c>
      <c r="E877" s="681" t="s">
        <v>23</v>
      </c>
      <c r="F877" s="683" t="s">
        <v>24</v>
      </c>
      <c r="G877" s="685" t="s">
        <v>25</v>
      </c>
    </row>
    <row r="878" spans="1:7" ht="19.899999999999999" customHeight="1">
      <c r="A878" s="477" t="s">
        <v>576</v>
      </c>
      <c r="B878" s="477" t="s">
        <v>577</v>
      </c>
      <c r="C878" s="680"/>
      <c r="D878" s="680"/>
      <c r="E878" s="682"/>
      <c r="F878" s="684"/>
      <c r="G878" s="686"/>
    </row>
    <row r="879" spans="1:7" ht="19.899999999999999" customHeight="1">
      <c r="A879" s="515">
        <f t="shared" ref="A879:A889" si="286">IFERROR(VLOOKUP(C879,T_Insumos,4,FALSE),0)</f>
        <v>0</v>
      </c>
      <c r="B879" s="478">
        <f t="shared" ref="B879:B889" si="287">IFERROR(VLOOKUP(C879,T_Insumos,5,FALSE),0)</f>
        <v>0</v>
      </c>
      <c r="C879" s="478"/>
      <c r="D879" s="526"/>
      <c r="E879" s="470"/>
      <c r="F879" s="472">
        <f t="shared" ref="F879:F889" si="288">IFERROR(VLOOKUP(C879,T_Insumos,3,FALSE),0)</f>
        <v>0</v>
      </c>
      <c r="G879" s="472">
        <f>ROUND(E879*F879,2)</f>
        <v>0</v>
      </c>
    </row>
    <row r="880" spans="1:7" ht="19.899999999999999" customHeight="1">
      <c r="A880" s="515">
        <f t="shared" si="286"/>
        <v>0</v>
      </c>
      <c r="B880" s="478">
        <f t="shared" si="287"/>
        <v>0</v>
      </c>
      <c r="C880" s="478"/>
      <c r="D880" s="526">
        <f t="shared" ref="D880:D889" si="289">IFERROR(VLOOKUP(C880,T_Insumos,2,FALSE),0)</f>
        <v>0</v>
      </c>
      <c r="E880" s="470"/>
      <c r="F880" s="472">
        <f t="shared" si="288"/>
        <v>0</v>
      </c>
      <c r="G880" s="472">
        <f t="shared" ref="G880:G889" si="290">ROUND(E880*F880,2)</f>
        <v>0</v>
      </c>
    </row>
    <row r="881" spans="1:7" ht="19.899999999999999" customHeight="1">
      <c r="A881" s="515">
        <f t="shared" si="286"/>
        <v>0</v>
      </c>
      <c r="B881" s="478">
        <f t="shared" si="287"/>
        <v>0</v>
      </c>
      <c r="C881" s="478"/>
      <c r="D881" s="526">
        <f t="shared" si="289"/>
        <v>0</v>
      </c>
      <c r="E881" s="470"/>
      <c r="F881" s="472">
        <f t="shared" si="288"/>
        <v>0</v>
      </c>
      <c r="G881" s="472">
        <f t="shared" si="290"/>
        <v>0</v>
      </c>
    </row>
    <row r="882" spans="1:7" ht="19.899999999999999" customHeight="1">
      <c r="A882" s="515">
        <f t="shared" si="286"/>
        <v>0</v>
      </c>
      <c r="B882" s="478">
        <f t="shared" si="287"/>
        <v>0</v>
      </c>
      <c r="C882" s="478"/>
      <c r="D882" s="526">
        <f t="shared" si="289"/>
        <v>0</v>
      </c>
      <c r="E882" s="470"/>
      <c r="F882" s="472">
        <f t="shared" si="288"/>
        <v>0</v>
      </c>
      <c r="G882" s="472">
        <f t="shared" si="290"/>
        <v>0</v>
      </c>
    </row>
    <row r="883" spans="1:7" ht="19.899999999999999" customHeight="1">
      <c r="A883" s="515">
        <f t="shared" si="286"/>
        <v>0</v>
      </c>
      <c r="B883" s="478">
        <f t="shared" si="287"/>
        <v>0</v>
      </c>
      <c r="C883" s="478"/>
      <c r="D883" s="526">
        <f t="shared" si="289"/>
        <v>0</v>
      </c>
      <c r="E883" s="470"/>
      <c r="F883" s="472">
        <f t="shared" si="288"/>
        <v>0</v>
      </c>
      <c r="G883" s="472">
        <f t="shared" si="290"/>
        <v>0</v>
      </c>
    </row>
    <row r="884" spans="1:7" ht="19.899999999999999" customHeight="1">
      <c r="A884" s="515">
        <f t="shared" si="286"/>
        <v>0</v>
      </c>
      <c r="B884" s="478">
        <f t="shared" si="287"/>
        <v>0</v>
      </c>
      <c r="C884" s="478"/>
      <c r="D884" s="526">
        <f t="shared" si="289"/>
        <v>0</v>
      </c>
      <c r="E884" s="470"/>
      <c r="F884" s="472">
        <f t="shared" si="288"/>
        <v>0</v>
      </c>
      <c r="G884" s="472">
        <f t="shared" si="290"/>
        <v>0</v>
      </c>
    </row>
    <row r="885" spans="1:7" ht="19.899999999999999" customHeight="1">
      <c r="A885" s="515">
        <f t="shared" si="286"/>
        <v>0</v>
      </c>
      <c r="B885" s="478">
        <f t="shared" si="287"/>
        <v>0</v>
      </c>
      <c r="C885" s="478"/>
      <c r="D885" s="526">
        <f t="shared" si="289"/>
        <v>0</v>
      </c>
      <c r="E885" s="470"/>
      <c r="F885" s="472">
        <f t="shared" si="288"/>
        <v>0</v>
      </c>
      <c r="G885" s="472">
        <f t="shared" si="290"/>
        <v>0</v>
      </c>
    </row>
    <row r="886" spans="1:7" ht="19.899999999999999" customHeight="1">
      <c r="A886" s="515">
        <f t="shared" si="286"/>
        <v>0</v>
      </c>
      <c r="B886" s="478">
        <f t="shared" si="287"/>
        <v>0</v>
      </c>
      <c r="C886" s="478"/>
      <c r="D886" s="526">
        <f t="shared" si="289"/>
        <v>0</v>
      </c>
      <c r="E886" s="470"/>
      <c r="F886" s="472">
        <f t="shared" si="288"/>
        <v>0</v>
      </c>
      <c r="G886" s="472">
        <f t="shared" si="290"/>
        <v>0</v>
      </c>
    </row>
    <row r="887" spans="1:7" ht="19.899999999999999" customHeight="1">
      <c r="A887" s="515">
        <f t="shared" si="286"/>
        <v>0</v>
      </c>
      <c r="B887" s="478">
        <f t="shared" si="287"/>
        <v>0</v>
      </c>
      <c r="C887" s="478"/>
      <c r="D887" s="526">
        <f t="shared" si="289"/>
        <v>0</v>
      </c>
      <c r="E887" s="470"/>
      <c r="F887" s="472">
        <f t="shared" si="288"/>
        <v>0</v>
      </c>
      <c r="G887" s="472">
        <f t="shared" si="290"/>
        <v>0</v>
      </c>
    </row>
    <row r="888" spans="1:7" ht="19.899999999999999" customHeight="1">
      <c r="A888" s="515">
        <f t="shared" si="286"/>
        <v>0</v>
      </c>
      <c r="B888" s="478">
        <f t="shared" si="287"/>
        <v>0</v>
      </c>
      <c r="C888" s="478"/>
      <c r="D888" s="526">
        <f t="shared" si="289"/>
        <v>0</v>
      </c>
      <c r="E888" s="470"/>
      <c r="F888" s="472">
        <f t="shared" si="288"/>
        <v>0</v>
      </c>
      <c r="G888" s="472">
        <f t="shared" si="290"/>
        <v>0</v>
      </c>
    </row>
    <row r="889" spans="1:7" ht="19.899999999999999" customHeight="1">
      <c r="A889" s="515">
        <f t="shared" si="286"/>
        <v>0</v>
      </c>
      <c r="B889" s="478">
        <f t="shared" si="287"/>
        <v>0</v>
      </c>
      <c r="C889" s="478"/>
      <c r="D889" s="526">
        <f t="shared" si="289"/>
        <v>0</v>
      </c>
      <c r="E889" s="470"/>
      <c r="F889" s="472">
        <f t="shared" si="288"/>
        <v>0</v>
      </c>
      <c r="G889" s="472">
        <f t="shared" si="290"/>
        <v>0</v>
      </c>
    </row>
    <row r="890" spans="1:7" ht="19.899999999999999" customHeight="1">
      <c r="A890" s="513"/>
      <c r="B890" s="163"/>
      <c r="C890" s="163"/>
      <c r="D890" s="459"/>
      <c r="E890" s="460"/>
      <c r="F890" s="481" t="s">
        <v>28</v>
      </c>
      <c r="G890" s="518">
        <f>SUBTOTAL(9,G879:G889)</f>
        <v>0</v>
      </c>
    </row>
    <row r="891" spans="1:7" ht="19.899999999999999" customHeight="1">
      <c r="A891" s="513"/>
      <c r="B891" s="163"/>
      <c r="C891" s="455" t="s">
        <v>1014</v>
      </c>
      <c r="D891" s="459"/>
      <c r="E891" s="460"/>
      <c r="F891" s="461"/>
      <c r="G891" s="514"/>
    </row>
    <row r="892" spans="1:7" ht="19.899999999999999" customHeight="1">
      <c r="A892" s="677" t="s">
        <v>575</v>
      </c>
      <c r="B892" s="678"/>
      <c r="C892" s="679" t="s">
        <v>0</v>
      </c>
      <c r="D892" s="679" t="s">
        <v>1865</v>
      </c>
      <c r="E892" s="681" t="s">
        <v>23</v>
      </c>
      <c r="F892" s="683" t="s">
        <v>24</v>
      </c>
      <c r="G892" s="685" t="s">
        <v>25</v>
      </c>
    </row>
    <row r="893" spans="1:7" ht="19.899999999999999" customHeight="1">
      <c r="A893" s="477" t="s">
        <v>576</v>
      </c>
      <c r="B893" s="477" t="s">
        <v>577</v>
      </c>
      <c r="C893" s="680"/>
      <c r="D893" s="680"/>
      <c r="E893" s="682"/>
      <c r="F893" s="684"/>
      <c r="G893" s="686"/>
    </row>
    <row r="894" spans="1:7" ht="19.899999999999999" customHeight="1">
      <c r="A894" s="515">
        <f>IFERROR(VLOOKUP(C894,T_Insumos,4,FALSE),0)</f>
        <v>0</v>
      </c>
      <c r="B894" s="478">
        <f>IFERROR(VLOOKUP(C894,T_Insumos,5,FALSE),0)</f>
        <v>0</v>
      </c>
      <c r="C894" s="469"/>
      <c r="D894" s="526">
        <f>IF(C894=0,0,"$/tnkm")</f>
        <v>0</v>
      </c>
      <c r="E894" s="470"/>
      <c r="F894" s="472">
        <f>IFERROR(VLOOKUP(C894,T_Insumos,3,FALSE),0)</f>
        <v>0</v>
      </c>
      <c r="G894" s="472">
        <f>ROUND(E894*F894,2)</f>
        <v>0</v>
      </c>
    </row>
    <row r="895" spans="1:7" ht="19.899999999999999" customHeight="1">
      <c r="A895" s="515">
        <f>IFERROR(VLOOKUP(C895,T_Insumos,4,FALSE),0)</f>
        <v>0</v>
      </c>
      <c r="B895" s="478">
        <f>IFERROR(VLOOKUP(C895,T_Insumos,5,FALSE),0)</f>
        <v>0</v>
      </c>
      <c r="C895" s="469"/>
      <c r="D895" s="526">
        <f>IF(C895=0,0,"$/tnkm")</f>
        <v>0</v>
      </c>
      <c r="E895" s="486"/>
      <c r="F895" s="472">
        <f>IFERROR(VLOOKUP(C895,T_Insumos,3,FALSE),0)</f>
        <v>0</v>
      </c>
      <c r="G895" s="472">
        <f t="shared" ref="G895" si="291">ROUND(E895*F895,2)</f>
        <v>0</v>
      </c>
    </row>
    <row r="896" spans="1:7" ht="19.899999999999999" customHeight="1">
      <c r="A896" s="513"/>
      <c r="B896" s="163"/>
      <c r="C896" s="163"/>
      <c r="D896" s="459"/>
      <c r="E896" s="460"/>
      <c r="F896" s="481" t="s">
        <v>1015</v>
      </c>
      <c r="G896" s="518">
        <f>SUBTOTAL(9,G894:G895)</f>
        <v>0</v>
      </c>
    </row>
    <row r="897" spans="1:8" ht="19.899999999999999" customHeight="1">
      <c r="A897" s="516"/>
      <c r="B897" s="459"/>
      <c r="C897" s="163"/>
      <c r="D897" s="459"/>
      <c r="E897" s="460"/>
      <c r="F897" s="461"/>
      <c r="G897" s="514"/>
    </row>
    <row r="898" spans="1:8" ht="19.899999999999999" customHeight="1">
      <c r="A898" s="574" t="str">
        <f>B832</f>
        <v>3.4.3</v>
      </c>
      <c r="B898" s="571" t="str">
        <f ca="1">C832</f>
        <v>Pararrayos</v>
      </c>
      <c r="C898" s="459"/>
      <c r="D898" s="459" t="s">
        <v>1831</v>
      </c>
      <c r="E898" s="572"/>
      <c r="F898" s="573" t="str">
        <f ca="1">"$/"&amp;G832</f>
        <v>$/gl.</v>
      </c>
      <c r="G898" s="523">
        <f>SUBTOTAL(9,G855:G897)</f>
        <v>0</v>
      </c>
    </row>
    <row r="899" spans="1:8" ht="19.899999999999999" customHeight="1">
      <c r="A899" s="519"/>
      <c r="B899" s="520"/>
      <c r="C899" s="521"/>
      <c r="D899" s="521" t="s">
        <v>2041</v>
      </c>
      <c r="E899" s="522"/>
      <c r="F899" s="575" t="str">
        <f ca="1">"$/"&amp;G832</f>
        <v>$/gl.</v>
      </c>
      <c r="G899" s="523">
        <f>ROUND(G898*Coeficiente_Paso,2)</f>
        <v>0</v>
      </c>
    </row>
    <row r="900" spans="1:8" ht="19.899999999999999" customHeight="1">
      <c r="A900" s="163"/>
      <c r="B900" s="163"/>
      <c r="C900" s="163"/>
      <c r="D900" s="163"/>
      <c r="E900" s="163"/>
      <c r="F900" s="163"/>
      <c r="G900" s="163"/>
    </row>
    <row r="901" spans="1:8" ht="19.899999999999999" customHeight="1">
      <c r="A901" s="687" t="s">
        <v>30</v>
      </c>
      <c r="B901" s="688"/>
      <c r="C901" s="688"/>
      <c r="D901" s="688"/>
      <c r="E901" s="688"/>
      <c r="F901" s="688"/>
      <c r="G901" s="689"/>
      <c r="H901" s="60"/>
    </row>
    <row r="902" spans="1:8" ht="19.899999999999999" customHeight="1">
      <c r="A902" s="502" t="s">
        <v>710</v>
      </c>
      <c r="B902" s="453" t="str">
        <f>Comitente</f>
        <v>DEPARTAMENTO DE HIDRAULICA</v>
      </c>
      <c r="C902" s="454"/>
      <c r="D902" s="455"/>
      <c r="E902" s="455"/>
      <c r="F902" s="456"/>
      <c r="G902" s="503"/>
      <c r="H902" s="60"/>
    </row>
    <row r="903" spans="1:8" ht="19.899999999999999" customHeight="1">
      <c r="A903" s="502" t="s">
        <v>711</v>
      </c>
      <c r="B903" s="453">
        <f>Contratista</f>
        <v>0</v>
      </c>
      <c r="C903" s="457"/>
      <c r="D903" s="457"/>
      <c r="E903" s="457"/>
      <c r="F903" s="453"/>
      <c r="G903" s="504"/>
      <c r="H903" s="60"/>
    </row>
    <row r="904" spans="1:8" ht="19.899999999999999" customHeight="1">
      <c r="A904" s="502" t="s">
        <v>20</v>
      </c>
      <c r="B904" s="453" t="str">
        <f>Obra</f>
        <v>MEJORA DE LA RED DE RIEGO DEL VALLE DE JÁCHAL</v>
      </c>
      <c r="C904" s="457"/>
      <c r="D904" s="457"/>
      <c r="E904" s="457"/>
      <c r="F904" s="453" t="s">
        <v>31</v>
      </c>
      <c r="G904" s="504" t="str">
        <f>Fecha_Base</f>
        <v>XX/07/2020</v>
      </c>
      <c r="H904" s="60"/>
    </row>
    <row r="905" spans="1:8" ht="19.899999999999999" customHeight="1">
      <c r="A905" s="505" t="s">
        <v>709</v>
      </c>
      <c r="B905" s="458" t="str">
        <f>Ubicación</f>
        <v>JACHAL</v>
      </c>
      <c r="C905" s="458"/>
      <c r="D905" s="459"/>
      <c r="E905" s="460"/>
      <c r="F905" s="461"/>
      <c r="G905" s="506"/>
      <c r="H905" s="60"/>
    </row>
    <row r="906" spans="1:8" ht="19.899999999999999" customHeight="1">
      <c r="A906" s="505" t="s">
        <v>32</v>
      </c>
      <c r="B906" s="462">
        <f>IFERROR(VALUE(LEFT(B907,FIND(".",B907)-1)),"")</f>
        <v>3</v>
      </c>
      <c r="C906" s="163" t="str">
        <f ca="1">IFERROR(VLOOKUP(B906,T_Computo_Presupuesto,2,FALSE),0)</f>
        <v>AZUD PACHIMOCO</v>
      </c>
      <c r="D906" s="163"/>
      <c r="E906" s="460"/>
      <c r="F906" s="461"/>
      <c r="G906" s="506"/>
      <c r="H906" s="60"/>
    </row>
    <row r="907" spans="1:8" ht="19.899999999999999" customHeight="1">
      <c r="A907" s="505" t="s">
        <v>21</v>
      </c>
      <c r="B907" s="463" t="str">
        <f>IFERROR(VLOOKUP(COUNTIF($A$1:A907,"ANALISIS DE PRECIOS"),T_NumeroItem,2,FALSE),"")</f>
        <v>3.4.4</v>
      </c>
      <c r="C907" s="690" t="str">
        <f ca="1">IFERROR(VLOOKUP(B907,T_Computo_Presupuesto,2,FALSE),0)</f>
        <v>Puesta a tierra</v>
      </c>
      <c r="D907" s="690"/>
      <c r="E907" s="690"/>
      <c r="F907" s="458" t="s">
        <v>22</v>
      </c>
      <c r="G907" s="507" t="str">
        <f ca="1">IFERROR(VLOOKUP(B907,T_Computo_Presupuesto,4,FALSE),0)</f>
        <v>gl.</v>
      </c>
      <c r="H907" s="60"/>
    </row>
    <row r="908" spans="1:8" ht="19.899999999999999" customHeight="1">
      <c r="A908" s="505"/>
      <c r="B908" s="458"/>
      <c r="C908" s="163"/>
      <c r="D908" s="459"/>
      <c r="E908" s="460"/>
      <c r="F908" s="163"/>
      <c r="G908" s="508"/>
      <c r="H908" s="60"/>
    </row>
    <row r="909" spans="1:8" ht="19.899999999999999" customHeight="1">
      <c r="A909" s="509"/>
      <c r="B909" s="464"/>
      <c r="C909" s="465" t="s">
        <v>998</v>
      </c>
      <c r="D909" s="464"/>
      <c r="E909" s="464"/>
      <c r="F909" s="464"/>
      <c r="G909" s="510"/>
      <c r="H909" s="60"/>
    </row>
    <row r="910" spans="1:8" ht="19.899999999999999" customHeight="1">
      <c r="A910" s="505"/>
      <c r="B910" s="466"/>
      <c r="C910" s="163"/>
      <c r="D910" s="459"/>
      <c r="E910" s="460"/>
      <c r="F910" s="458"/>
      <c r="G910" s="507"/>
      <c r="H910" s="60"/>
    </row>
    <row r="911" spans="1:8" ht="19.899999999999999" customHeight="1">
      <c r="A911" s="505"/>
      <c r="B911" s="466"/>
      <c r="C911" s="467" t="s">
        <v>999</v>
      </c>
      <c r="D911" s="468" t="s">
        <v>23</v>
      </c>
      <c r="E911" s="468" t="s">
        <v>1000</v>
      </c>
      <c r="F911" s="468" t="s">
        <v>1001</v>
      </c>
      <c r="G911" s="467" t="s">
        <v>1002</v>
      </c>
    </row>
    <row r="912" spans="1:8" ht="19.899999999999999" customHeight="1">
      <c r="A912" s="505"/>
      <c r="B912" s="466"/>
      <c r="C912" s="469"/>
      <c r="D912" s="470"/>
      <c r="E912" s="471">
        <f t="shared" ref="E912:E915" si="292">IFERROR(VLOOKUP(C912,T_Equipos,4,FALSE),0)</f>
        <v>0</v>
      </c>
      <c r="F912" s="472">
        <f t="shared" ref="F912:F915" si="293">IFERROR(VLOOKUP(C912,T_Equipos,5,FALSE),0)</f>
        <v>0</v>
      </c>
      <c r="G912" s="472">
        <f>ROUND(D912*F912,2)</f>
        <v>0</v>
      </c>
    </row>
    <row r="913" spans="1:7" ht="19.899999999999999" customHeight="1">
      <c r="A913" s="505"/>
      <c r="B913" s="466"/>
      <c r="C913" s="469"/>
      <c r="D913" s="470"/>
      <c r="E913" s="471">
        <f t="shared" si="292"/>
        <v>0</v>
      </c>
      <c r="F913" s="472">
        <f t="shared" si="293"/>
        <v>0</v>
      </c>
      <c r="G913" s="472">
        <f>ROUND(D913*F913,2)</f>
        <v>0</v>
      </c>
    </row>
    <row r="914" spans="1:7" ht="19.899999999999999" customHeight="1">
      <c r="A914" s="505"/>
      <c r="B914" s="466"/>
      <c r="C914" s="469"/>
      <c r="D914" s="470"/>
      <c r="E914" s="471">
        <f t="shared" si="292"/>
        <v>0</v>
      </c>
      <c r="F914" s="472">
        <f t="shared" si="293"/>
        <v>0</v>
      </c>
      <c r="G914" s="472">
        <f>ROUND(D914*F914,2)</f>
        <v>0</v>
      </c>
    </row>
    <row r="915" spans="1:7" ht="19.899999999999999" customHeight="1">
      <c r="A915" s="505"/>
      <c r="B915" s="466"/>
      <c r="C915" s="469"/>
      <c r="D915" s="470"/>
      <c r="E915" s="471">
        <f t="shared" si="292"/>
        <v>0</v>
      </c>
      <c r="F915" s="472">
        <f t="shared" si="293"/>
        <v>0</v>
      </c>
      <c r="G915" s="472">
        <f>ROUND(D915*F915,2)</f>
        <v>0</v>
      </c>
    </row>
    <row r="916" spans="1:7" ht="19.899999999999999" customHeight="1">
      <c r="A916" s="505"/>
      <c r="B916" s="466"/>
      <c r="C916" s="469"/>
      <c r="D916" s="470"/>
      <c r="E916" s="471">
        <f t="shared" ref="E916:E921" si="294">IFERROR(VLOOKUP(C916,T_Equipos,4,FALSE),0)</f>
        <v>0</v>
      </c>
      <c r="F916" s="472">
        <f t="shared" ref="F916:F921" si="295">IFERROR(VLOOKUP(C916,T_Equipos,5,FALSE),0)</f>
        <v>0</v>
      </c>
      <c r="G916" s="472">
        <f t="shared" ref="G916:G921" si="296">ROUND(D916*F916,2)</f>
        <v>0</v>
      </c>
    </row>
    <row r="917" spans="1:7" ht="19.899999999999999" customHeight="1">
      <c r="A917" s="505"/>
      <c r="B917" s="466"/>
      <c r="C917" s="469"/>
      <c r="D917" s="470"/>
      <c r="E917" s="471">
        <f t="shared" si="294"/>
        <v>0</v>
      </c>
      <c r="F917" s="472">
        <f t="shared" si="295"/>
        <v>0</v>
      </c>
      <c r="G917" s="472">
        <f t="shared" si="296"/>
        <v>0</v>
      </c>
    </row>
    <row r="918" spans="1:7" ht="19.899999999999999" customHeight="1">
      <c r="A918" s="505"/>
      <c r="B918" s="466"/>
      <c r="C918" s="469"/>
      <c r="D918" s="470"/>
      <c r="E918" s="471">
        <f t="shared" si="294"/>
        <v>0</v>
      </c>
      <c r="F918" s="472">
        <f t="shared" si="295"/>
        <v>0</v>
      </c>
      <c r="G918" s="472">
        <f t="shared" si="296"/>
        <v>0</v>
      </c>
    </row>
    <row r="919" spans="1:7" ht="19.899999999999999" customHeight="1">
      <c r="A919" s="505"/>
      <c r="B919" s="466"/>
      <c r="C919" s="469"/>
      <c r="D919" s="470"/>
      <c r="E919" s="471">
        <f t="shared" si="294"/>
        <v>0</v>
      </c>
      <c r="F919" s="472">
        <f t="shared" si="295"/>
        <v>0</v>
      </c>
      <c r="G919" s="472">
        <f t="shared" si="296"/>
        <v>0</v>
      </c>
    </row>
    <row r="920" spans="1:7" ht="19.899999999999999" customHeight="1">
      <c r="A920" s="505"/>
      <c r="B920" s="466"/>
      <c r="C920" s="469"/>
      <c r="D920" s="470"/>
      <c r="E920" s="471">
        <f t="shared" si="294"/>
        <v>0</v>
      </c>
      <c r="F920" s="472">
        <f t="shared" si="295"/>
        <v>0</v>
      </c>
      <c r="G920" s="472">
        <f t="shared" si="296"/>
        <v>0</v>
      </c>
    </row>
    <row r="921" spans="1:7" ht="19.899999999999999" customHeight="1">
      <c r="A921" s="505"/>
      <c r="B921" s="466"/>
      <c r="C921" s="469"/>
      <c r="D921" s="470"/>
      <c r="E921" s="471">
        <f t="shared" si="294"/>
        <v>0</v>
      </c>
      <c r="F921" s="472">
        <f t="shared" si="295"/>
        <v>0</v>
      </c>
      <c r="G921" s="472">
        <f t="shared" si="296"/>
        <v>0</v>
      </c>
    </row>
    <row r="922" spans="1:7" ht="19.899999999999999" customHeight="1">
      <c r="A922" s="505"/>
      <c r="B922" s="466"/>
      <c r="C922" s="163"/>
      <c r="D922" s="163"/>
      <c r="E922" s="473"/>
      <c r="F922" s="458"/>
      <c r="G922" s="507"/>
    </row>
    <row r="923" spans="1:7" ht="19.899999999999999" customHeight="1">
      <c r="A923" s="505"/>
      <c r="B923" s="163"/>
      <c r="C923" s="455" t="s">
        <v>1003</v>
      </c>
      <c r="D923" s="458" t="s">
        <v>1000</v>
      </c>
      <c r="E923" s="524">
        <f>SUMPRODUCT(D912:D921,E912:E921)</f>
        <v>0</v>
      </c>
      <c r="F923" s="458" t="s">
        <v>1004</v>
      </c>
      <c r="G923" s="525">
        <f>SUM(G912:G921)</f>
        <v>0</v>
      </c>
    </row>
    <row r="924" spans="1:7" ht="19.899999999999999" customHeight="1">
      <c r="A924" s="505"/>
      <c r="B924" s="466"/>
      <c r="C924" s="474"/>
      <c r="D924" s="473"/>
      <c r="E924" s="460"/>
      <c r="F924" s="458"/>
      <c r="G924" s="511"/>
    </row>
    <row r="925" spans="1:7" ht="19.899999999999999" customHeight="1">
      <c r="A925" s="512"/>
      <c r="B925" s="466"/>
      <c r="C925" s="458" t="s">
        <v>1005</v>
      </c>
      <c r="D925" s="475"/>
      <c r="E925" s="476" t="str">
        <f ca="1">G907&amp;"/día"</f>
        <v>gl./día</v>
      </c>
      <c r="F925" s="452"/>
      <c r="G925" s="507"/>
    </row>
    <row r="926" spans="1:7" ht="19.899999999999999" customHeight="1">
      <c r="A926" s="505"/>
      <c r="B926" s="466"/>
      <c r="C926" s="163"/>
      <c r="D926" s="459"/>
      <c r="E926" s="460"/>
      <c r="F926" s="458"/>
      <c r="G926" s="507"/>
    </row>
    <row r="927" spans="1:7" ht="19.899999999999999" customHeight="1">
      <c r="A927" s="677" t="s">
        <v>575</v>
      </c>
      <c r="B927" s="678"/>
      <c r="C927" s="679" t="s">
        <v>0</v>
      </c>
      <c r="D927" s="691" t="s">
        <v>1864</v>
      </c>
      <c r="E927" s="691" t="s">
        <v>1863</v>
      </c>
      <c r="F927" s="683" t="s">
        <v>1006</v>
      </c>
      <c r="G927" s="685" t="s">
        <v>25</v>
      </c>
    </row>
    <row r="928" spans="1:7" ht="19.899999999999999" customHeight="1">
      <c r="A928" s="477" t="s">
        <v>576</v>
      </c>
      <c r="B928" s="477" t="s">
        <v>577</v>
      </c>
      <c r="C928" s="680"/>
      <c r="D928" s="692"/>
      <c r="E928" s="682"/>
      <c r="F928" s="684"/>
      <c r="G928" s="686"/>
    </row>
    <row r="929" spans="1:7" ht="19.899999999999999" customHeight="1">
      <c r="A929" s="513"/>
      <c r="B929" s="163"/>
      <c r="C929" s="455" t="s">
        <v>1007</v>
      </c>
      <c r="D929" s="460"/>
      <c r="E929" s="460"/>
      <c r="F929" s="163"/>
      <c r="G929" s="514"/>
    </row>
    <row r="930" spans="1:7" ht="19.899999999999999" customHeight="1">
      <c r="A930" s="515">
        <f t="shared" ref="A930:A931" si="297">IFERROR(VLOOKUP(C930,T_Insumos,4,FALSE),0)</f>
        <v>0</v>
      </c>
      <c r="B930" s="478">
        <f t="shared" ref="B930:B931" si="298">IFERROR(VLOOKUP(C930,T_Insumos,5,FALSE),0)</f>
        <v>0</v>
      </c>
      <c r="C930" s="469"/>
      <c r="D930" s="479">
        <f t="shared" ref="D930:D933" si="299">IFERROR(VLOOKUP(C930,T_Insumos,3,FALSE),0)</f>
        <v>0</v>
      </c>
      <c r="E930" s="472">
        <f>D930*$G$923</f>
        <v>0</v>
      </c>
      <c r="F930" s="475">
        <f>IF(C930="",0,IFERROR(VLOOKUP(COUNTIF($A$1:A930,"ANALISIS DE PRECIOS"),T_Rendimiento_Equipo,5,FALSE),0))</f>
        <v>0</v>
      </c>
      <c r="G930" s="472">
        <f>IFERROR(ROUND(E930/F930,2),0)</f>
        <v>0</v>
      </c>
    </row>
    <row r="931" spans="1:7" ht="19.899999999999999" customHeight="1">
      <c r="A931" s="515">
        <f t="shared" si="297"/>
        <v>0</v>
      </c>
      <c r="B931" s="478">
        <f t="shared" si="298"/>
        <v>0</v>
      </c>
      <c r="C931" s="469"/>
      <c r="D931" s="479">
        <f t="shared" si="299"/>
        <v>0</v>
      </c>
      <c r="E931" s="472">
        <f t="shared" ref="E931:E938" si="300">D931*$G$923</f>
        <v>0</v>
      </c>
      <c r="F931" s="475">
        <f>IF(C931="",0,IFERROR(VLOOKUP(COUNTIF($A$1:A931,"ANALISIS DE PRECIOS"),T_Rendimiento_Equipo,5,FALSE),0))</f>
        <v>0</v>
      </c>
      <c r="G931" s="472">
        <f t="shared" ref="G931:G938" si="301">IFERROR(ROUND(E931/F931,2),0)</f>
        <v>0</v>
      </c>
    </row>
    <row r="932" spans="1:7" ht="19.899999999999999" customHeight="1">
      <c r="A932" s="515">
        <f t="shared" ref="A932:A938" si="302">IFERROR(VLOOKUP(C932,T_Insumos,4,FALSE),0)</f>
        <v>0</v>
      </c>
      <c r="B932" s="478">
        <f t="shared" ref="B932:B938" si="303">IFERROR(VLOOKUP(C932,T_Insumos,5,FALSE),0)</f>
        <v>0</v>
      </c>
      <c r="C932" s="480"/>
      <c r="D932" s="479">
        <f t="shared" si="299"/>
        <v>0</v>
      </c>
      <c r="E932" s="472">
        <f t="shared" si="300"/>
        <v>0</v>
      </c>
      <c r="F932" s="475">
        <f>IF(C932="",0,IFERROR(VLOOKUP(COUNTIF($A$1:A932,"ANALISIS DE PRECIOS"),T_Rendimiento_Equipo,5,FALSE),0))</f>
        <v>0</v>
      </c>
      <c r="G932" s="472">
        <f t="shared" si="301"/>
        <v>0</v>
      </c>
    </row>
    <row r="933" spans="1:7" ht="19.899999999999999" customHeight="1">
      <c r="A933" s="515">
        <f t="shared" si="302"/>
        <v>0</v>
      </c>
      <c r="B933" s="478">
        <f t="shared" si="303"/>
        <v>0</v>
      </c>
      <c r="C933" s="480"/>
      <c r="D933" s="479">
        <f t="shared" si="299"/>
        <v>0</v>
      </c>
      <c r="E933" s="472">
        <f t="shared" si="300"/>
        <v>0</v>
      </c>
      <c r="F933" s="475">
        <f>IF(C933="",0,IFERROR(VLOOKUP(COUNTIF($A$1:A933,"ANALISIS DE PRECIOS"),T_Rendimiento_Equipo,5,FALSE),0))</f>
        <v>0</v>
      </c>
      <c r="G933" s="472">
        <f t="shared" si="301"/>
        <v>0</v>
      </c>
    </row>
    <row r="934" spans="1:7" ht="19.899999999999999" customHeight="1">
      <c r="A934" s="515">
        <f t="shared" si="302"/>
        <v>0</v>
      </c>
      <c r="B934" s="478">
        <f t="shared" si="303"/>
        <v>0</v>
      </c>
      <c r="C934" s="480"/>
      <c r="D934" s="479">
        <f t="shared" ref="D934:D938" si="304">IFERROR(VLOOKUP(C934,T_Insumos,3,FALSE),0)</f>
        <v>0</v>
      </c>
      <c r="E934" s="472">
        <f t="shared" si="300"/>
        <v>0</v>
      </c>
      <c r="F934" s="475">
        <f>IF(C934="",0,IFERROR(VLOOKUP(COUNTIF($A$1:A934,"ANALISIS DE PRECIOS"),T_Rendimiento_Equipo,5,FALSE),0))</f>
        <v>0</v>
      </c>
      <c r="G934" s="472">
        <f t="shared" si="301"/>
        <v>0</v>
      </c>
    </row>
    <row r="935" spans="1:7" ht="19.899999999999999" customHeight="1">
      <c r="A935" s="515">
        <f t="shared" si="302"/>
        <v>0</v>
      </c>
      <c r="B935" s="478">
        <f t="shared" si="303"/>
        <v>0</v>
      </c>
      <c r="C935" s="480"/>
      <c r="D935" s="479">
        <f t="shared" si="304"/>
        <v>0</v>
      </c>
      <c r="E935" s="472">
        <f t="shared" si="300"/>
        <v>0</v>
      </c>
      <c r="F935" s="475">
        <f>IF(C935="",0,IFERROR(VLOOKUP(COUNTIF($A$1:A935,"ANALISIS DE PRECIOS"),T_Rendimiento_Equipo,5,FALSE),0))</f>
        <v>0</v>
      </c>
      <c r="G935" s="472">
        <f t="shared" si="301"/>
        <v>0</v>
      </c>
    </row>
    <row r="936" spans="1:7" ht="19.899999999999999" customHeight="1">
      <c r="A936" s="515">
        <f t="shared" si="302"/>
        <v>0</v>
      </c>
      <c r="B936" s="478">
        <f t="shared" si="303"/>
        <v>0</v>
      </c>
      <c r="C936" s="480"/>
      <c r="D936" s="479">
        <f t="shared" si="304"/>
        <v>0</v>
      </c>
      <c r="E936" s="472">
        <f t="shared" si="300"/>
        <v>0</v>
      </c>
      <c r="F936" s="475">
        <f>IF(C936="",0,IFERROR(VLOOKUP(COUNTIF($A$1:A936,"ANALISIS DE PRECIOS"),T_Rendimiento_Equipo,5,FALSE),0))</f>
        <v>0</v>
      </c>
      <c r="G936" s="472">
        <f t="shared" si="301"/>
        <v>0</v>
      </c>
    </row>
    <row r="937" spans="1:7" ht="19.899999999999999" customHeight="1">
      <c r="A937" s="515">
        <f t="shared" si="302"/>
        <v>0</v>
      </c>
      <c r="B937" s="478">
        <f t="shared" si="303"/>
        <v>0</v>
      </c>
      <c r="C937" s="480"/>
      <c r="D937" s="479">
        <f t="shared" si="304"/>
        <v>0</v>
      </c>
      <c r="E937" s="472">
        <f t="shared" si="300"/>
        <v>0</v>
      </c>
      <c r="F937" s="475">
        <f>IF(C937="",0,IFERROR(VLOOKUP(COUNTIF($A$1:A937,"ANALISIS DE PRECIOS"),T_Rendimiento_Equipo,5,FALSE),0))</f>
        <v>0</v>
      </c>
      <c r="G937" s="472">
        <f t="shared" si="301"/>
        <v>0</v>
      </c>
    </row>
    <row r="938" spans="1:7" ht="19.899999999999999" customHeight="1">
      <c r="A938" s="515">
        <f t="shared" si="302"/>
        <v>0</v>
      </c>
      <c r="B938" s="478">
        <f t="shared" si="303"/>
        <v>0</v>
      </c>
      <c r="C938" s="469"/>
      <c r="D938" s="479">
        <f t="shared" si="304"/>
        <v>0</v>
      </c>
      <c r="E938" s="472">
        <f t="shared" si="300"/>
        <v>0</v>
      </c>
      <c r="F938" s="475">
        <f>IF(C938="",0,IFERROR(VLOOKUP(COUNTIF($A$1:A938,"ANALISIS DE PRECIOS"),T_Rendimiento_Equipo,5,FALSE),0))</f>
        <v>0</v>
      </c>
      <c r="G938" s="472">
        <f t="shared" si="301"/>
        <v>0</v>
      </c>
    </row>
    <row r="939" spans="1:7" ht="19.899999999999999" customHeight="1">
      <c r="A939" s="516"/>
      <c r="B939" s="459"/>
      <c r="C939" s="163"/>
      <c r="D939" s="459"/>
      <c r="E939" s="460"/>
      <c r="F939" s="481" t="s">
        <v>26</v>
      </c>
      <c r="G939" s="517">
        <f>SUBTOTAL(9,G930:G938)</f>
        <v>0</v>
      </c>
    </row>
    <row r="940" spans="1:7" ht="19.899999999999999" customHeight="1">
      <c r="A940" s="513"/>
      <c r="B940" s="163"/>
      <c r="C940" s="455" t="s">
        <v>712</v>
      </c>
      <c r="D940" s="459"/>
      <c r="E940" s="460"/>
      <c r="F940" s="461"/>
      <c r="G940" s="514"/>
    </row>
    <row r="941" spans="1:7" ht="19.899999999999999" customHeight="1">
      <c r="A941" s="677" t="s">
        <v>575</v>
      </c>
      <c r="B941" s="678"/>
      <c r="C941" s="679" t="s">
        <v>0</v>
      </c>
      <c r="D941" s="681" t="s">
        <v>23</v>
      </c>
      <c r="E941" s="681" t="s">
        <v>1830</v>
      </c>
      <c r="F941" s="683" t="s">
        <v>1006</v>
      </c>
      <c r="G941" s="685" t="s">
        <v>25</v>
      </c>
    </row>
    <row r="942" spans="1:7" ht="19.899999999999999" customHeight="1">
      <c r="A942" s="477" t="s">
        <v>576</v>
      </c>
      <c r="B942" s="477" t="s">
        <v>577</v>
      </c>
      <c r="C942" s="680"/>
      <c r="D942" s="682"/>
      <c r="E942" s="682"/>
      <c r="F942" s="684"/>
      <c r="G942" s="686"/>
    </row>
    <row r="943" spans="1:7" ht="19.899999999999999" customHeight="1">
      <c r="A943" s="515">
        <f t="shared" ref="A943:A946" si="305">IFERROR(VLOOKUP(C943,T_Insumos,4,FALSE),0)</f>
        <v>0</v>
      </c>
      <c r="B943" s="478">
        <f t="shared" ref="B943:B946" si="306">IFERROR(VLOOKUP(C943,T_Insumos,5,FALSE),0)</f>
        <v>0</v>
      </c>
      <c r="C943" s="482"/>
      <c r="D943" s="475"/>
      <c r="E943" s="472">
        <f t="shared" ref="E943:E946" si="307">IFERROR(VLOOKUP(C943,T_Insumos,3,FALSE),0)</f>
        <v>0</v>
      </c>
      <c r="F943" s="475">
        <f>IF(C943="",0,IFERROR(VLOOKUP(COUNTIF($A$1:A943,"ANALISIS DE PRECIOS"),T_Rendimiento_Equipo,5,FALSE),0))</f>
        <v>0</v>
      </c>
      <c r="G943" s="472">
        <f>IFERROR(ROUND(D943*E943/F943,2),0)</f>
        <v>0</v>
      </c>
    </row>
    <row r="944" spans="1:7" ht="19.899999999999999" customHeight="1">
      <c r="A944" s="515">
        <f t="shared" si="305"/>
        <v>0</v>
      </c>
      <c r="B944" s="478">
        <f t="shared" si="306"/>
        <v>0</v>
      </c>
      <c r="C944" s="469"/>
      <c r="D944" s="475"/>
      <c r="E944" s="472">
        <f t="shared" si="307"/>
        <v>0</v>
      </c>
      <c r="F944" s="475">
        <f>IF(C944="",0,IFERROR(VLOOKUP(COUNTIF($A$1:A944,"ANALISIS DE PRECIOS"),T_Rendimiento_Equipo,5,FALSE),0))</f>
        <v>0</v>
      </c>
      <c r="G944" s="472">
        <f t="shared" ref="G944:G949" si="308">IFERROR(ROUND(D944*E944/F944,2),0)</f>
        <v>0</v>
      </c>
    </row>
    <row r="945" spans="1:7" ht="19.899999999999999" customHeight="1">
      <c r="A945" s="515">
        <f t="shared" si="305"/>
        <v>0</v>
      </c>
      <c r="B945" s="478">
        <f t="shared" si="306"/>
        <v>0</v>
      </c>
      <c r="C945" s="469"/>
      <c r="D945" s="475"/>
      <c r="E945" s="472">
        <f t="shared" si="307"/>
        <v>0</v>
      </c>
      <c r="F945" s="475">
        <f>IF(C945="",0,IFERROR(VLOOKUP(COUNTIF($A$1:A945,"ANALISIS DE PRECIOS"),T_Rendimiento_Equipo,5,FALSE),0))</f>
        <v>0</v>
      </c>
      <c r="G945" s="472">
        <f t="shared" si="308"/>
        <v>0</v>
      </c>
    </row>
    <row r="946" spans="1:7" ht="19.899999999999999" customHeight="1">
      <c r="A946" s="515">
        <f t="shared" si="305"/>
        <v>0</v>
      </c>
      <c r="B946" s="478">
        <f t="shared" si="306"/>
        <v>0</v>
      </c>
      <c r="C946" s="469"/>
      <c r="D946" s="475"/>
      <c r="E946" s="472">
        <f t="shared" si="307"/>
        <v>0</v>
      </c>
      <c r="F946" s="475">
        <f>IF(C946="",0,IFERROR(VLOOKUP(COUNTIF($A$1:A946,"ANALISIS DE PRECIOS"),T_Rendimiento_Equipo,5,FALSE),0))</f>
        <v>0</v>
      </c>
      <c r="G946" s="472">
        <f t="shared" si="308"/>
        <v>0</v>
      </c>
    </row>
    <row r="947" spans="1:7" ht="19.899999999999999" customHeight="1">
      <c r="A947" s="515">
        <f t="shared" ref="A947:A949" si="309">IFERROR(VLOOKUP(C947,T_Insumos,4,FALSE),0)</f>
        <v>0</v>
      </c>
      <c r="B947" s="478">
        <f t="shared" ref="B947:B949" si="310">IFERROR(VLOOKUP(C947,T_Insumos,5,FALSE),0)</f>
        <v>0</v>
      </c>
      <c r="C947" s="469"/>
      <c r="D947" s="475"/>
      <c r="E947" s="472">
        <f t="shared" ref="E947:E949" si="311">IFERROR(VLOOKUP(C947,T_Insumos,3,FALSE),0)</f>
        <v>0</v>
      </c>
      <c r="F947" s="475">
        <f>IF(C947="",0,IFERROR(VLOOKUP(COUNTIF($A$1:A947,"ANALISIS DE PRECIOS"),T_Rendimiento_Equipo,5,FALSE),0))</f>
        <v>0</v>
      </c>
      <c r="G947" s="472">
        <f t="shared" si="308"/>
        <v>0</v>
      </c>
    </row>
    <row r="948" spans="1:7" ht="19.899999999999999" customHeight="1">
      <c r="A948" s="515">
        <f t="shared" si="309"/>
        <v>0</v>
      </c>
      <c r="B948" s="478">
        <f t="shared" si="310"/>
        <v>0</v>
      </c>
      <c r="C948" s="469"/>
      <c r="D948" s="483"/>
      <c r="E948" s="472">
        <f>SUMPRODUCT(D943:D946,E943:E946)</f>
        <v>0</v>
      </c>
      <c r="F948" s="475">
        <f>IF(C948="",0,IFERROR(VLOOKUP(COUNTIF($A$1:A948,"ANALISIS DE PRECIOS"),T_Rendimiento_Equipo,5,FALSE),0))</f>
        <v>0</v>
      </c>
      <c r="G948" s="472">
        <f t="shared" si="308"/>
        <v>0</v>
      </c>
    </row>
    <row r="949" spans="1:7" ht="19.899999999999999" customHeight="1">
      <c r="A949" s="515">
        <f t="shared" si="309"/>
        <v>0</v>
      </c>
      <c r="B949" s="478">
        <f t="shared" si="310"/>
        <v>0</v>
      </c>
      <c r="C949" s="478"/>
      <c r="D949" s="484"/>
      <c r="E949" s="472">
        <f t="shared" si="311"/>
        <v>0</v>
      </c>
      <c r="F949" s="475">
        <f>IF(C949="",0,IFERROR(VLOOKUP(COUNTIF($A$1:A949,"ANALISIS DE PRECIOS"),T_Rendimiento_Equipo,5,FALSE),0))</f>
        <v>0</v>
      </c>
      <c r="G949" s="472">
        <f t="shared" si="308"/>
        <v>0</v>
      </c>
    </row>
    <row r="950" spans="1:7" ht="19.899999999999999" customHeight="1">
      <c r="A950" s="516"/>
      <c r="B950" s="459"/>
      <c r="C950" s="163"/>
      <c r="D950" s="459"/>
      <c r="E950" s="460"/>
      <c r="F950" s="481" t="s">
        <v>27</v>
      </c>
      <c r="G950" s="518">
        <f>SUBTOTAL(9,G943:G949)</f>
        <v>0</v>
      </c>
    </row>
    <row r="951" spans="1:7" ht="19.899999999999999" customHeight="1">
      <c r="A951" s="513"/>
      <c r="B951" s="163"/>
      <c r="C951" s="455" t="s">
        <v>1013</v>
      </c>
      <c r="D951" s="459"/>
      <c r="E951" s="460"/>
      <c r="F951" s="461"/>
      <c r="G951" s="514"/>
    </row>
    <row r="952" spans="1:7" ht="19.899999999999999" customHeight="1">
      <c r="A952" s="677" t="s">
        <v>575</v>
      </c>
      <c r="B952" s="678"/>
      <c r="C952" s="679" t="s">
        <v>0</v>
      </c>
      <c r="D952" s="679" t="s">
        <v>1865</v>
      </c>
      <c r="E952" s="681" t="s">
        <v>23</v>
      </c>
      <c r="F952" s="683" t="s">
        <v>24</v>
      </c>
      <c r="G952" s="685" t="s">
        <v>25</v>
      </c>
    </row>
    <row r="953" spans="1:7" ht="19.899999999999999" customHeight="1">
      <c r="A953" s="477" t="s">
        <v>576</v>
      </c>
      <c r="B953" s="477" t="s">
        <v>577</v>
      </c>
      <c r="C953" s="680"/>
      <c r="D953" s="680"/>
      <c r="E953" s="682"/>
      <c r="F953" s="684"/>
      <c r="G953" s="686"/>
    </row>
    <row r="954" spans="1:7" ht="19.899999999999999" customHeight="1">
      <c r="A954" s="515">
        <f t="shared" ref="A954:A964" si="312">IFERROR(VLOOKUP(C954,T_Insumos,4,FALSE),0)</f>
        <v>0</v>
      </c>
      <c r="B954" s="478">
        <f t="shared" ref="B954:B964" si="313">IFERROR(VLOOKUP(C954,T_Insumos,5,FALSE),0)</f>
        <v>0</v>
      </c>
      <c r="C954" s="478"/>
      <c r="D954" s="526"/>
      <c r="E954" s="470"/>
      <c r="F954" s="472">
        <f t="shared" ref="F954:F956" si="314">IFERROR(VLOOKUP(C954,T_Insumos,3,FALSE),0)</f>
        <v>0</v>
      </c>
      <c r="G954" s="472">
        <f>ROUND(E954*F954,2)</f>
        <v>0</v>
      </c>
    </row>
    <row r="955" spans="1:7" s="485" customFormat="1" ht="19.899999999999999" customHeight="1">
      <c r="A955" s="515">
        <f t="shared" si="312"/>
        <v>0</v>
      </c>
      <c r="B955" s="478">
        <f t="shared" si="313"/>
        <v>0</v>
      </c>
      <c r="C955" s="478"/>
      <c r="D955" s="526"/>
      <c r="E955" s="470"/>
      <c r="F955" s="472">
        <f t="shared" si="314"/>
        <v>0</v>
      </c>
      <c r="G955" s="472">
        <f t="shared" ref="G955:G964" si="315">ROUND(E955*F955,2)</f>
        <v>0</v>
      </c>
    </row>
    <row r="956" spans="1:7" ht="19.899999999999999" customHeight="1">
      <c r="A956" s="515">
        <f t="shared" si="312"/>
        <v>0</v>
      </c>
      <c r="B956" s="478">
        <f t="shared" si="313"/>
        <v>0</v>
      </c>
      <c r="C956" s="478"/>
      <c r="D956" s="526"/>
      <c r="E956" s="470"/>
      <c r="F956" s="472">
        <f t="shared" si="314"/>
        <v>0</v>
      </c>
      <c r="G956" s="472">
        <f t="shared" si="315"/>
        <v>0</v>
      </c>
    </row>
    <row r="957" spans="1:7" ht="19.899999999999999" customHeight="1">
      <c r="A957" s="515">
        <f t="shared" si="312"/>
        <v>0</v>
      </c>
      <c r="B957" s="478">
        <f t="shared" si="313"/>
        <v>0</v>
      </c>
      <c r="C957" s="478"/>
      <c r="D957" s="526">
        <f t="shared" ref="D957:D964" si="316">IFERROR(VLOOKUP(C957,T_Insumos,2,FALSE),0)</f>
        <v>0</v>
      </c>
      <c r="E957" s="470"/>
      <c r="F957" s="472">
        <f t="shared" ref="F957:F964" si="317">IFERROR(VLOOKUP(C957,T_Insumos,3,FALSE),0)</f>
        <v>0</v>
      </c>
      <c r="G957" s="472">
        <f t="shared" si="315"/>
        <v>0</v>
      </c>
    </row>
    <row r="958" spans="1:7" ht="19.899999999999999" customHeight="1">
      <c r="A958" s="515">
        <f t="shared" si="312"/>
        <v>0</v>
      </c>
      <c r="B958" s="478">
        <f t="shared" si="313"/>
        <v>0</v>
      </c>
      <c r="C958" s="478"/>
      <c r="D958" s="526">
        <f t="shared" si="316"/>
        <v>0</v>
      </c>
      <c r="E958" s="470"/>
      <c r="F958" s="472">
        <f t="shared" si="317"/>
        <v>0</v>
      </c>
      <c r="G958" s="472">
        <f t="shared" si="315"/>
        <v>0</v>
      </c>
    </row>
    <row r="959" spans="1:7" ht="19.899999999999999" customHeight="1">
      <c r="A959" s="515">
        <f t="shared" si="312"/>
        <v>0</v>
      </c>
      <c r="B959" s="478">
        <f t="shared" si="313"/>
        <v>0</v>
      </c>
      <c r="C959" s="478"/>
      <c r="D959" s="526">
        <f t="shared" si="316"/>
        <v>0</v>
      </c>
      <c r="E959" s="470"/>
      <c r="F959" s="472">
        <f t="shared" si="317"/>
        <v>0</v>
      </c>
      <c r="G959" s="472">
        <f t="shared" si="315"/>
        <v>0</v>
      </c>
    </row>
    <row r="960" spans="1:7" ht="19.899999999999999" customHeight="1">
      <c r="A960" s="515">
        <f t="shared" si="312"/>
        <v>0</v>
      </c>
      <c r="B960" s="478">
        <f t="shared" si="313"/>
        <v>0</v>
      </c>
      <c r="C960" s="478"/>
      <c r="D960" s="526">
        <f t="shared" si="316"/>
        <v>0</v>
      </c>
      <c r="E960" s="470"/>
      <c r="F960" s="472">
        <f t="shared" si="317"/>
        <v>0</v>
      </c>
      <c r="G960" s="472">
        <f t="shared" si="315"/>
        <v>0</v>
      </c>
    </row>
    <row r="961" spans="1:8" ht="19.899999999999999" customHeight="1">
      <c r="A961" s="515">
        <f t="shared" si="312"/>
        <v>0</v>
      </c>
      <c r="B961" s="478">
        <f t="shared" si="313"/>
        <v>0</v>
      </c>
      <c r="C961" s="478"/>
      <c r="D961" s="526">
        <f t="shared" si="316"/>
        <v>0</v>
      </c>
      <c r="E961" s="470"/>
      <c r="F961" s="472">
        <f t="shared" si="317"/>
        <v>0</v>
      </c>
      <c r="G961" s="472">
        <f t="shared" si="315"/>
        <v>0</v>
      </c>
    </row>
    <row r="962" spans="1:8" ht="19.899999999999999" customHeight="1">
      <c r="A962" s="515">
        <f t="shared" si="312"/>
        <v>0</v>
      </c>
      <c r="B962" s="478">
        <f t="shared" si="313"/>
        <v>0</v>
      </c>
      <c r="C962" s="478"/>
      <c r="D962" s="526">
        <f t="shared" si="316"/>
        <v>0</v>
      </c>
      <c r="E962" s="470"/>
      <c r="F962" s="472">
        <f t="shared" si="317"/>
        <v>0</v>
      </c>
      <c r="G962" s="472">
        <f t="shared" si="315"/>
        <v>0</v>
      </c>
    </row>
    <row r="963" spans="1:8" ht="19.899999999999999" customHeight="1">
      <c r="A963" s="515">
        <f t="shared" si="312"/>
        <v>0</v>
      </c>
      <c r="B963" s="478">
        <f t="shared" si="313"/>
        <v>0</v>
      </c>
      <c r="C963" s="478"/>
      <c r="D963" s="526">
        <f t="shared" si="316"/>
        <v>0</v>
      </c>
      <c r="E963" s="470"/>
      <c r="F963" s="472">
        <f t="shared" si="317"/>
        <v>0</v>
      </c>
      <c r="G963" s="472">
        <f t="shared" si="315"/>
        <v>0</v>
      </c>
    </row>
    <row r="964" spans="1:8" ht="19.899999999999999" customHeight="1">
      <c r="A964" s="515">
        <f t="shared" si="312"/>
        <v>0</v>
      </c>
      <c r="B964" s="478">
        <f t="shared" si="313"/>
        <v>0</v>
      </c>
      <c r="C964" s="478"/>
      <c r="D964" s="526">
        <f t="shared" si="316"/>
        <v>0</v>
      </c>
      <c r="E964" s="470"/>
      <c r="F964" s="472">
        <f t="shared" si="317"/>
        <v>0</v>
      </c>
      <c r="G964" s="472">
        <f t="shared" si="315"/>
        <v>0</v>
      </c>
    </row>
    <row r="965" spans="1:8" ht="19.899999999999999" customHeight="1">
      <c r="A965" s="513"/>
      <c r="B965" s="163"/>
      <c r="C965" s="163"/>
      <c r="D965" s="459"/>
      <c r="E965" s="460"/>
      <c r="F965" s="481" t="s">
        <v>28</v>
      </c>
      <c r="G965" s="518">
        <f>SUBTOTAL(9,G954:G964)</f>
        <v>0</v>
      </c>
    </row>
    <row r="966" spans="1:8" ht="19.899999999999999" customHeight="1">
      <c r="A966" s="513"/>
      <c r="B966" s="163"/>
      <c r="C966" s="455" t="s">
        <v>1014</v>
      </c>
      <c r="D966" s="459"/>
      <c r="E966" s="460"/>
      <c r="F966" s="461"/>
      <c r="G966" s="514"/>
    </row>
    <row r="967" spans="1:8" ht="19.899999999999999" customHeight="1">
      <c r="A967" s="677" t="s">
        <v>575</v>
      </c>
      <c r="B967" s="678"/>
      <c r="C967" s="679" t="s">
        <v>0</v>
      </c>
      <c r="D967" s="679" t="s">
        <v>1865</v>
      </c>
      <c r="E967" s="681" t="s">
        <v>23</v>
      </c>
      <c r="F967" s="683" t="s">
        <v>24</v>
      </c>
      <c r="G967" s="685" t="s">
        <v>25</v>
      </c>
    </row>
    <row r="968" spans="1:8" ht="19.899999999999999" customHeight="1">
      <c r="A968" s="477" t="s">
        <v>576</v>
      </c>
      <c r="B968" s="477" t="s">
        <v>577</v>
      </c>
      <c r="C968" s="680"/>
      <c r="D968" s="680"/>
      <c r="E968" s="682"/>
      <c r="F968" s="684"/>
      <c r="G968" s="686"/>
    </row>
    <row r="969" spans="1:8" ht="19.899999999999999" customHeight="1">
      <c r="A969" s="515">
        <f>IFERROR(VLOOKUP(C969,T_Insumos,4,FALSE),0)</f>
        <v>0</v>
      </c>
      <c r="B969" s="478">
        <f>IFERROR(VLOOKUP(C969,T_Insumos,5,FALSE),0)</f>
        <v>0</v>
      </c>
      <c r="C969" s="469"/>
      <c r="D969" s="526">
        <f>IF(C969=0,0,"$/tnkm")</f>
        <v>0</v>
      </c>
      <c r="E969" s="470"/>
      <c r="F969" s="472">
        <f>IFERROR(VLOOKUP(C969,T_Insumos,3,FALSE),0)</f>
        <v>0</v>
      </c>
      <c r="G969" s="472">
        <f>ROUND(E969*F969,2)</f>
        <v>0</v>
      </c>
    </row>
    <row r="970" spans="1:8" ht="19.899999999999999" customHeight="1">
      <c r="A970" s="515">
        <f>IFERROR(VLOOKUP(C970,T_Insumos,4,FALSE),0)</f>
        <v>0</v>
      </c>
      <c r="B970" s="478">
        <f>IFERROR(VLOOKUP(C970,T_Insumos,5,FALSE),0)</f>
        <v>0</v>
      </c>
      <c r="C970" s="469"/>
      <c r="D970" s="526">
        <f>IF(C970=0,0,"$/tnkm")</f>
        <v>0</v>
      </c>
      <c r="E970" s="486"/>
      <c r="F970" s="472">
        <f>IFERROR(VLOOKUP(C970,T_Insumos,3,FALSE),0)</f>
        <v>0</v>
      </c>
      <c r="G970" s="472">
        <f t="shared" ref="G970" si="318">ROUND(E970*F970,2)</f>
        <v>0</v>
      </c>
    </row>
    <row r="971" spans="1:8" ht="19.899999999999999" customHeight="1">
      <c r="A971" s="513"/>
      <c r="B971" s="163"/>
      <c r="C971" s="163"/>
      <c r="D971" s="459"/>
      <c r="E971" s="460"/>
      <c r="F971" s="481" t="s">
        <v>1015</v>
      </c>
      <c r="G971" s="518">
        <f>SUBTOTAL(9,G969:G970)</f>
        <v>0</v>
      </c>
      <c r="H971" s="60"/>
    </row>
    <row r="972" spans="1:8" ht="19.899999999999999" customHeight="1">
      <c r="A972" s="516"/>
      <c r="B972" s="459"/>
      <c r="C972" s="163"/>
      <c r="D972" s="459"/>
      <c r="E972" s="460"/>
      <c r="F972" s="461"/>
      <c r="G972" s="514"/>
      <c r="H972" s="60"/>
    </row>
    <row r="973" spans="1:8" ht="19.899999999999999" customHeight="1">
      <c r="A973" s="574" t="str">
        <f>B907</f>
        <v>3.4.4</v>
      </c>
      <c r="B973" s="571" t="str">
        <f ca="1">C907</f>
        <v>Puesta a tierra</v>
      </c>
      <c r="C973" s="459"/>
      <c r="D973" s="459" t="s">
        <v>1831</v>
      </c>
      <c r="E973" s="572"/>
      <c r="F973" s="573" t="str">
        <f ca="1">"$/"&amp;G907</f>
        <v>$/gl.</v>
      </c>
      <c r="G973" s="523">
        <f>SUBTOTAL(9,G930:G972)</f>
        <v>0</v>
      </c>
      <c r="H973" s="60"/>
    </row>
    <row r="974" spans="1:8" ht="19.899999999999999" customHeight="1">
      <c r="A974" s="519"/>
      <c r="B974" s="520"/>
      <c r="C974" s="521"/>
      <c r="D974" s="521" t="s">
        <v>2041</v>
      </c>
      <c r="E974" s="522"/>
      <c r="F974" s="575" t="str">
        <f ca="1">"$/"&amp;G907</f>
        <v>$/gl.</v>
      </c>
      <c r="G974" s="523">
        <f>ROUND(G973*Coeficiente_Paso,2)</f>
        <v>0</v>
      </c>
      <c r="H974" s="60"/>
    </row>
    <row r="975" spans="1:8" ht="19.899999999999999" customHeight="1">
      <c r="A975" s="163"/>
      <c r="B975" s="163"/>
      <c r="C975" s="163"/>
      <c r="D975" s="163"/>
      <c r="E975" s="163"/>
      <c r="F975" s="163"/>
      <c r="G975" s="163"/>
      <c r="H975" s="60"/>
    </row>
    <row r="976" spans="1:8" ht="19.899999999999999" customHeight="1">
      <c r="A976" s="687" t="s">
        <v>30</v>
      </c>
      <c r="B976" s="688"/>
      <c r="C976" s="688"/>
      <c r="D976" s="688"/>
      <c r="E976" s="688"/>
      <c r="F976" s="688"/>
      <c r="G976" s="689"/>
    </row>
    <row r="977" spans="1:7" ht="19.899999999999999" customHeight="1">
      <c r="A977" s="502" t="s">
        <v>710</v>
      </c>
      <c r="B977" s="453" t="str">
        <f>Comitente</f>
        <v>DEPARTAMENTO DE HIDRAULICA</v>
      </c>
      <c r="C977" s="454"/>
      <c r="D977" s="455"/>
      <c r="E977" s="455"/>
      <c r="F977" s="456"/>
      <c r="G977" s="503"/>
    </row>
    <row r="978" spans="1:7" ht="19.899999999999999" customHeight="1">
      <c r="A978" s="502" t="s">
        <v>711</v>
      </c>
      <c r="B978" s="453">
        <f>Contratista</f>
        <v>0</v>
      </c>
      <c r="C978" s="457"/>
      <c r="D978" s="457"/>
      <c r="E978" s="457"/>
      <c r="F978" s="453"/>
      <c r="G978" s="504"/>
    </row>
    <row r="979" spans="1:7" ht="19.899999999999999" customHeight="1">
      <c r="A979" s="502" t="s">
        <v>20</v>
      </c>
      <c r="B979" s="453" t="str">
        <f>Obra</f>
        <v>MEJORA DE LA RED DE RIEGO DEL VALLE DE JÁCHAL</v>
      </c>
      <c r="C979" s="457"/>
      <c r="D979" s="457"/>
      <c r="E979" s="457"/>
      <c r="F979" s="453" t="s">
        <v>31</v>
      </c>
      <c r="G979" s="504" t="str">
        <f>Fecha_Base</f>
        <v>XX/07/2020</v>
      </c>
    </row>
    <row r="980" spans="1:7" ht="19.899999999999999" customHeight="1">
      <c r="A980" s="505" t="s">
        <v>709</v>
      </c>
      <c r="B980" s="458" t="str">
        <f>Ubicación</f>
        <v>JACHAL</v>
      </c>
      <c r="C980" s="458"/>
      <c r="D980" s="459"/>
      <c r="E980" s="460"/>
      <c r="F980" s="461"/>
      <c r="G980" s="506"/>
    </row>
    <row r="981" spans="1:7" ht="19.899999999999999" customHeight="1">
      <c r="A981" s="505" t="s">
        <v>32</v>
      </c>
      <c r="B981" s="462">
        <f>IFERROR(VALUE(LEFT(B982,FIND(".",B982)-1)),"")</f>
        <v>4</v>
      </c>
      <c r="C981" s="163" t="str">
        <f ca="1">IFERROR(VLOOKUP(B981,T_Computo_Presupuesto,2,FALSE),0)</f>
        <v>DESARENADOR</v>
      </c>
      <c r="D981" s="163"/>
      <c r="E981" s="460"/>
      <c r="F981" s="461"/>
      <c r="G981" s="506"/>
    </row>
    <row r="982" spans="1:7" ht="19.899999999999999" customHeight="1">
      <c r="A982" s="505" t="s">
        <v>21</v>
      </c>
      <c r="B982" s="463" t="str">
        <f>IFERROR(VLOOKUP(COUNTIF($A$1:A982,"ANALISIS DE PRECIOS"),T_NumeroItem,2,FALSE),"")</f>
        <v>4.1.1</v>
      </c>
      <c r="C982" s="690" t="str">
        <f ca="1">IFERROR(VLOOKUP(B982,T_Computo_Presupuesto,2,FALSE),0)</f>
        <v>Reemplazo de compuertas desarenador</v>
      </c>
      <c r="D982" s="690"/>
      <c r="E982" s="690"/>
      <c r="F982" s="458" t="s">
        <v>22</v>
      </c>
      <c r="G982" s="507" t="str">
        <f ca="1">IFERROR(VLOOKUP(B982,T_Computo_Presupuesto,4,FALSE),0)</f>
        <v>gl.</v>
      </c>
    </row>
    <row r="983" spans="1:7" ht="19.899999999999999" customHeight="1">
      <c r="A983" s="505"/>
      <c r="B983" s="458"/>
      <c r="C983" s="163"/>
      <c r="D983" s="459"/>
      <c r="E983" s="460"/>
      <c r="F983" s="163"/>
      <c r="G983" s="508"/>
    </row>
    <row r="984" spans="1:7" ht="19.899999999999999" customHeight="1">
      <c r="A984" s="509"/>
      <c r="B984" s="464"/>
      <c r="C984" s="465" t="s">
        <v>998</v>
      </c>
      <c r="D984" s="464"/>
      <c r="E984" s="464"/>
      <c r="F984" s="464"/>
      <c r="G984" s="510"/>
    </row>
    <row r="985" spans="1:7" ht="19.899999999999999" customHeight="1">
      <c r="A985" s="505"/>
      <c r="B985" s="466"/>
      <c r="C985" s="163"/>
      <c r="D985" s="459"/>
      <c r="E985" s="460"/>
      <c r="F985" s="458"/>
      <c r="G985" s="507"/>
    </row>
    <row r="986" spans="1:7" ht="19.899999999999999" customHeight="1">
      <c r="A986" s="505"/>
      <c r="B986" s="466"/>
      <c r="C986" s="467" t="s">
        <v>999</v>
      </c>
      <c r="D986" s="468" t="s">
        <v>23</v>
      </c>
      <c r="E986" s="468" t="s">
        <v>1000</v>
      </c>
      <c r="F986" s="468" t="s">
        <v>1001</v>
      </c>
      <c r="G986" s="467" t="s">
        <v>1002</v>
      </c>
    </row>
    <row r="987" spans="1:7" ht="19.899999999999999" customHeight="1">
      <c r="A987" s="505"/>
      <c r="B987" s="466"/>
      <c r="C987" s="469"/>
      <c r="D987" s="470"/>
      <c r="E987" s="471">
        <f t="shared" ref="E987:E989" si="319">IFERROR(VLOOKUP(C987,T_Equipos,4,FALSE),0)</f>
        <v>0</v>
      </c>
      <c r="F987" s="472">
        <f t="shared" ref="F987:F989" si="320">IFERROR(VLOOKUP(C987,T_Equipos,5,FALSE),0)</f>
        <v>0</v>
      </c>
      <c r="G987" s="472">
        <f>ROUND(D987*F987,2)</f>
        <v>0</v>
      </c>
    </row>
    <row r="988" spans="1:7" ht="19.899999999999999" customHeight="1">
      <c r="A988" s="505"/>
      <c r="B988" s="466"/>
      <c r="C988" s="469"/>
      <c r="D988" s="470"/>
      <c r="E988" s="471">
        <f t="shared" si="319"/>
        <v>0</v>
      </c>
      <c r="F988" s="472">
        <f t="shared" si="320"/>
        <v>0</v>
      </c>
      <c r="G988" s="472">
        <f>ROUND(D988*F988,2)</f>
        <v>0</v>
      </c>
    </row>
    <row r="989" spans="1:7" ht="19.899999999999999" customHeight="1">
      <c r="A989" s="505"/>
      <c r="B989" s="466"/>
      <c r="C989" s="469"/>
      <c r="D989" s="470"/>
      <c r="E989" s="471">
        <f t="shared" si="319"/>
        <v>0</v>
      </c>
      <c r="F989" s="472">
        <f t="shared" si="320"/>
        <v>0</v>
      </c>
      <c r="G989" s="472">
        <f>ROUND(D989*F989,2)</f>
        <v>0</v>
      </c>
    </row>
    <row r="990" spans="1:7" ht="19.899999999999999" customHeight="1">
      <c r="A990" s="505"/>
      <c r="B990" s="466"/>
      <c r="C990" s="469"/>
      <c r="D990" s="470"/>
      <c r="E990" s="471">
        <f t="shared" ref="E990:E996" si="321">IFERROR(VLOOKUP(C990,T_Equipos,4,FALSE),0)</f>
        <v>0</v>
      </c>
      <c r="F990" s="472">
        <f t="shared" ref="F990:F996" si="322">IFERROR(VLOOKUP(C990,T_Equipos,5,FALSE),0)</f>
        <v>0</v>
      </c>
      <c r="G990" s="472">
        <f>ROUND(D990*F990,2)</f>
        <v>0</v>
      </c>
    </row>
    <row r="991" spans="1:7" ht="19.899999999999999" customHeight="1">
      <c r="A991" s="505"/>
      <c r="B991" s="466"/>
      <c r="C991" s="469"/>
      <c r="D991" s="470"/>
      <c r="E991" s="471">
        <f t="shared" si="321"/>
        <v>0</v>
      </c>
      <c r="F991" s="472">
        <f t="shared" si="322"/>
        <v>0</v>
      </c>
      <c r="G991" s="472">
        <f t="shared" ref="G991:G996" si="323">ROUND(D991*F991,2)</f>
        <v>0</v>
      </c>
    </row>
    <row r="992" spans="1:7" ht="19.899999999999999" customHeight="1">
      <c r="A992" s="505"/>
      <c r="B992" s="466"/>
      <c r="C992" s="469"/>
      <c r="D992" s="470"/>
      <c r="E992" s="471">
        <f t="shared" si="321"/>
        <v>0</v>
      </c>
      <c r="F992" s="472">
        <f t="shared" si="322"/>
        <v>0</v>
      </c>
      <c r="G992" s="472">
        <f t="shared" si="323"/>
        <v>0</v>
      </c>
    </row>
    <row r="993" spans="1:11" ht="19.899999999999999" customHeight="1">
      <c r="A993" s="505"/>
      <c r="B993" s="466"/>
      <c r="C993" s="469"/>
      <c r="D993" s="470"/>
      <c r="E993" s="471">
        <f t="shared" si="321"/>
        <v>0</v>
      </c>
      <c r="F993" s="472">
        <f t="shared" si="322"/>
        <v>0</v>
      </c>
      <c r="G993" s="472">
        <f t="shared" si="323"/>
        <v>0</v>
      </c>
    </row>
    <row r="994" spans="1:11" ht="19.899999999999999" customHeight="1">
      <c r="A994" s="505"/>
      <c r="B994" s="466"/>
      <c r="C994" s="469"/>
      <c r="D994" s="470"/>
      <c r="E994" s="471">
        <f t="shared" si="321"/>
        <v>0</v>
      </c>
      <c r="F994" s="472">
        <f t="shared" si="322"/>
        <v>0</v>
      </c>
      <c r="G994" s="472">
        <f t="shared" si="323"/>
        <v>0</v>
      </c>
    </row>
    <row r="995" spans="1:11" ht="19.899999999999999" customHeight="1">
      <c r="A995" s="505"/>
      <c r="B995" s="466"/>
      <c r="C995" s="469"/>
      <c r="D995" s="470"/>
      <c r="E995" s="471">
        <f t="shared" si="321"/>
        <v>0</v>
      </c>
      <c r="F995" s="472">
        <f t="shared" si="322"/>
        <v>0</v>
      </c>
      <c r="G995" s="472">
        <f t="shared" si="323"/>
        <v>0</v>
      </c>
    </row>
    <row r="996" spans="1:11" ht="19.899999999999999" customHeight="1">
      <c r="A996" s="505"/>
      <c r="B996" s="466"/>
      <c r="C996" s="469"/>
      <c r="D996" s="470"/>
      <c r="E996" s="471">
        <f t="shared" si="321"/>
        <v>0</v>
      </c>
      <c r="F996" s="472">
        <f t="shared" si="322"/>
        <v>0</v>
      </c>
      <c r="G996" s="472">
        <f t="shared" si="323"/>
        <v>0</v>
      </c>
    </row>
    <row r="997" spans="1:11" ht="19.899999999999999" customHeight="1">
      <c r="A997" s="505"/>
      <c r="B997" s="466"/>
      <c r="C997" s="163"/>
      <c r="D997" s="163"/>
      <c r="E997" s="473"/>
      <c r="F997" s="458"/>
      <c r="G997" s="507"/>
    </row>
    <row r="998" spans="1:11" ht="19.899999999999999" customHeight="1">
      <c r="A998" s="505"/>
      <c r="B998" s="163"/>
      <c r="C998" s="455" t="s">
        <v>1003</v>
      </c>
      <c r="D998" s="458" t="s">
        <v>1000</v>
      </c>
      <c r="E998" s="524">
        <f>SUMPRODUCT(D987:D996,E987:E996)</f>
        <v>0</v>
      </c>
      <c r="F998" s="458" t="s">
        <v>1004</v>
      </c>
      <c r="G998" s="525">
        <f>SUM(G987:G996)</f>
        <v>0</v>
      </c>
    </row>
    <row r="999" spans="1:11" ht="19.899999999999999" customHeight="1">
      <c r="A999" s="505"/>
      <c r="B999" s="466"/>
      <c r="C999" s="474"/>
      <c r="D999" s="473"/>
      <c r="E999" s="460"/>
      <c r="F999" s="458"/>
      <c r="G999" s="511"/>
    </row>
    <row r="1000" spans="1:11" ht="19.899999999999999" customHeight="1">
      <c r="A1000" s="512"/>
      <c r="B1000" s="466"/>
      <c r="C1000" s="458" t="s">
        <v>1005</v>
      </c>
      <c r="D1000" s="653"/>
      <c r="E1000" s="476" t="str">
        <f ca="1">G982&amp;"/día"</f>
        <v>gl./día</v>
      </c>
      <c r="F1000" s="452"/>
      <c r="G1000" s="507"/>
    </row>
    <row r="1001" spans="1:11" ht="19.899999999999999" customHeight="1">
      <c r="A1001" s="505"/>
      <c r="B1001" s="466"/>
      <c r="C1001" s="163"/>
      <c r="D1001" s="459"/>
      <c r="E1001" s="460"/>
      <c r="F1001" s="458"/>
      <c r="G1001" s="507"/>
    </row>
    <row r="1002" spans="1:11" ht="19.899999999999999" customHeight="1">
      <c r="A1002" s="677" t="s">
        <v>575</v>
      </c>
      <c r="B1002" s="678"/>
      <c r="C1002" s="679" t="s">
        <v>0</v>
      </c>
      <c r="D1002" s="691" t="s">
        <v>1864</v>
      </c>
      <c r="E1002" s="691" t="s">
        <v>1863</v>
      </c>
      <c r="F1002" s="683" t="s">
        <v>1006</v>
      </c>
      <c r="G1002" s="685" t="s">
        <v>25</v>
      </c>
    </row>
    <row r="1003" spans="1:11" ht="19.899999999999999" customHeight="1">
      <c r="A1003" s="477" t="s">
        <v>576</v>
      </c>
      <c r="B1003" s="477" t="s">
        <v>577</v>
      </c>
      <c r="C1003" s="680"/>
      <c r="D1003" s="692"/>
      <c r="E1003" s="682"/>
      <c r="F1003" s="684"/>
      <c r="G1003" s="686"/>
    </row>
    <row r="1004" spans="1:11" ht="19.899999999999999" customHeight="1">
      <c r="A1004" s="513"/>
      <c r="B1004" s="163"/>
      <c r="C1004" s="455" t="s">
        <v>1007</v>
      </c>
      <c r="D1004" s="460"/>
      <c r="E1004" s="460"/>
      <c r="F1004" s="163"/>
      <c r="G1004" s="514"/>
    </row>
    <row r="1005" spans="1:11" ht="19.899999999999999" customHeight="1">
      <c r="A1005" s="515">
        <f t="shared" ref="A1005" si="324">IFERROR(VLOOKUP(C1005,T_Insumos,4,FALSE),0)</f>
        <v>0</v>
      </c>
      <c r="B1005" s="478">
        <f t="shared" ref="B1005" si="325">IFERROR(VLOOKUP(C1005,T_Insumos,5,FALSE),0)</f>
        <v>0</v>
      </c>
      <c r="C1005" s="469"/>
      <c r="D1005" s="479">
        <f t="shared" ref="D1005:D1008" si="326">IFERROR(VLOOKUP(C1005,T_Insumos,3,FALSE),0)</f>
        <v>0</v>
      </c>
      <c r="E1005" s="472">
        <f>D1005*$G$998</f>
        <v>0</v>
      </c>
      <c r="F1005" s="475">
        <f>IF(C1005="",0,IFERROR(VLOOKUP(COUNTIF($A$1:A1005,"ANALISIS DE PRECIOS"),T_Rendimiento_Equipo,5,FALSE),0))</f>
        <v>0</v>
      </c>
      <c r="G1005" s="472">
        <f>IFERROR(ROUND(E1005/F1005,2),0)</f>
        <v>0</v>
      </c>
      <c r="I1005" s="640">
        <f>G998*D1005</f>
        <v>0</v>
      </c>
    </row>
    <row r="1006" spans="1:11" ht="19.899999999999999" customHeight="1">
      <c r="A1006" s="515">
        <f t="shared" ref="A1006:A1013" si="327">IFERROR(VLOOKUP(C1006,T_Insumos,4,FALSE),0)</f>
        <v>0</v>
      </c>
      <c r="B1006" s="478">
        <f t="shared" ref="B1006:B1013" si="328">IFERROR(VLOOKUP(C1006,T_Insumos,5,FALSE),0)</f>
        <v>0</v>
      </c>
      <c r="C1006" s="469"/>
      <c r="D1006" s="479">
        <f t="shared" si="326"/>
        <v>0</v>
      </c>
      <c r="E1006" s="472">
        <f t="shared" ref="E1006:E1012" si="329">D1006*$G$998</f>
        <v>0</v>
      </c>
      <c r="F1006" s="475">
        <f>IF(C1006="",0,IFERROR(VLOOKUP(COUNTIF($A$1:A1006,"ANALISIS DE PRECIOS"),T_Rendimiento_Equipo,5,FALSE),0))</f>
        <v>0</v>
      </c>
      <c r="G1006" s="472">
        <f t="shared" ref="G1006:G1013" si="330">IFERROR(ROUND(E1006/F1006,2),0)</f>
        <v>0</v>
      </c>
      <c r="I1006" s="640">
        <f>G998*D1006</f>
        <v>0</v>
      </c>
    </row>
    <row r="1007" spans="1:11" ht="19.899999999999999" customHeight="1">
      <c r="A1007" s="515">
        <f t="shared" si="327"/>
        <v>0</v>
      </c>
      <c r="B1007" s="478">
        <f t="shared" si="328"/>
        <v>0</v>
      </c>
      <c r="C1007" s="480"/>
      <c r="D1007" s="479">
        <f t="shared" si="326"/>
        <v>0</v>
      </c>
      <c r="E1007" s="472">
        <f t="shared" si="329"/>
        <v>0</v>
      </c>
      <c r="F1007" s="475">
        <f>IF(C1007="",0,IFERROR(VLOOKUP(COUNTIF($A$1:A1007,"ANALISIS DE PRECIOS"),T_Rendimiento_Equipo,5,FALSE),0))</f>
        <v>0</v>
      </c>
      <c r="G1007" s="472">
        <f t="shared" si="330"/>
        <v>0</v>
      </c>
      <c r="I1007" s="452">
        <v>79.63</v>
      </c>
      <c r="J1007" s="641" t="e">
        <f>I1007/D1007</f>
        <v>#DIV/0!</v>
      </c>
      <c r="K1007" s="641" t="e">
        <f>J1007/0.2</f>
        <v>#DIV/0!</v>
      </c>
    </row>
    <row r="1008" spans="1:11" ht="19.899999999999999" customHeight="1">
      <c r="A1008" s="515">
        <f t="shared" si="327"/>
        <v>0</v>
      </c>
      <c r="B1008" s="478">
        <f t="shared" si="328"/>
        <v>0</v>
      </c>
      <c r="C1008" s="480"/>
      <c r="D1008" s="479">
        <f t="shared" si="326"/>
        <v>0</v>
      </c>
      <c r="E1008" s="472">
        <f t="shared" si="329"/>
        <v>0</v>
      </c>
      <c r="F1008" s="475">
        <f>IF(C1008="",0,IFERROR(VLOOKUP(COUNTIF($A$1:A1008,"ANALISIS DE PRECIOS"),T_Rendimiento_Equipo,5,FALSE),0))</f>
        <v>0</v>
      </c>
      <c r="G1008" s="472">
        <f t="shared" si="330"/>
        <v>0</v>
      </c>
    </row>
    <row r="1009" spans="1:7" ht="19.899999999999999" customHeight="1">
      <c r="A1009" s="515">
        <f t="shared" si="327"/>
        <v>0</v>
      </c>
      <c r="B1009" s="478">
        <f t="shared" si="328"/>
        <v>0</v>
      </c>
      <c r="C1009" s="480"/>
      <c r="D1009" s="479">
        <f t="shared" ref="D1009:D1013" si="331">IFERROR(VLOOKUP(C1009,T_Insumos,3,FALSE),0)</f>
        <v>0</v>
      </c>
      <c r="E1009" s="472">
        <f t="shared" si="329"/>
        <v>0</v>
      </c>
      <c r="F1009" s="475">
        <f>IF(C1009="",0,IFERROR(VLOOKUP(COUNTIF($A$1:A1009,"ANALISIS DE PRECIOS"),T_Rendimiento_Equipo,5,FALSE),0))</f>
        <v>0</v>
      </c>
      <c r="G1009" s="472">
        <f t="shared" si="330"/>
        <v>0</v>
      </c>
    </row>
    <row r="1010" spans="1:7" ht="19.899999999999999" customHeight="1">
      <c r="A1010" s="515">
        <f t="shared" si="327"/>
        <v>0</v>
      </c>
      <c r="B1010" s="478">
        <f t="shared" si="328"/>
        <v>0</v>
      </c>
      <c r="C1010" s="480"/>
      <c r="D1010" s="479">
        <f t="shared" si="331"/>
        <v>0</v>
      </c>
      <c r="E1010" s="472">
        <f t="shared" si="329"/>
        <v>0</v>
      </c>
      <c r="F1010" s="475">
        <f>IF(C1010="",0,IFERROR(VLOOKUP(COUNTIF($A$1:A1010,"ANALISIS DE PRECIOS"),T_Rendimiento_Equipo,5,FALSE),0))</f>
        <v>0</v>
      </c>
      <c r="G1010" s="472">
        <f t="shared" si="330"/>
        <v>0</v>
      </c>
    </row>
    <row r="1011" spans="1:7" ht="19.899999999999999" customHeight="1">
      <c r="A1011" s="515">
        <f t="shared" si="327"/>
        <v>0</v>
      </c>
      <c r="B1011" s="478">
        <f t="shared" si="328"/>
        <v>0</v>
      </c>
      <c r="C1011" s="480"/>
      <c r="D1011" s="479">
        <f t="shared" si="331"/>
        <v>0</v>
      </c>
      <c r="E1011" s="472">
        <f t="shared" si="329"/>
        <v>0</v>
      </c>
      <c r="F1011" s="475">
        <f>IF(C1011="",0,IFERROR(VLOOKUP(COUNTIF($A$1:A1011,"ANALISIS DE PRECIOS"),T_Rendimiento_Equipo,5,FALSE),0))</f>
        <v>0</v>
      </c>
      <c r="G1011" s="472">
        <f t="shared" si="330"/>
        <v>0</v>
      </c>
    </row>
    <row r="1012" spans="1:7" ht="19.899999999999999" customHeight="1">
      <c r="A1012" s="515">
        <f t="shared" si="327"/>
        <v>0</v>
      </c>
      <c r="B1012" s="478">
        <f t="shared" si="328"/>
        <v>0</v>
      </c>
      <c r="C1012" s="480"/>
      <c r="D1012" s="479">
        <f t="shared" si="331"/>
        <v>0</v>
      </c>
      <c r="E1012" s="472">
        <f t="shared" si="329"/>
        <v>0</v>
      </c>
      <c r="F1012" s="475">
        <f>IF(C1012="",0,IFERROR(VLOOKUP(COUNTIF($A$1:A1012,"ANALISIS DE PRECIOS"),T_Rendimiento_Equipo,5,FALSE),0))</f>
        <v>0</v>
      </c>
      <c r="G1012" s="472">
        <f t="shared" si="330"/>
        <v>0</v>
      </c>
    </row>
    <row r="1013" spans="1:7" ht="19.899999999999999" customHeight="1">
      <c r="A1013" s="515">
        <f t="shared" si="327"/>
        <v>0</v>
      </c>
      <c r="B1013" s="478">
        <f t="shared" si="328"/>
        <v>0</v>
      </c>
      <c r="C1013" s="469"/>
      <c r="D1013" s="479">
        <f t="shared" si="331"/>
        <v>0</v>
      </c>
      <c r="E1013" s="472"/>
      <c r="F1013" s="475">
        <f>IF(C1013="",0,IFERROR(VLOOKUP(COUNTIF($A$1:A1013,"ANALISIS DE PRECIOS"),T_Rendimiento_Equipo,5,FALSE),0))</f>
        <v>0</v>
      </c>
      <c r="G1013" s="472">
        <f t="shared" si="330"/>
        <v>0</v>
      </c>
    </row>
    <row r="1014" spans="1:7" ht="19.899999999999999" customHeight="1">
      <c r="A1014" s="516"/>
      <c r="B1014" s="459"/>
      <c r="C1014" s="163"/>
      <c r="D1014" s="459"/>
      <c r="E1014" s="460"/>
      <c r="F1014" s="481" t="s">
        <v>26</v>
      </c>
      <c r="G1014" s="517">
        <f>SUBTOTAL(9,G1005:G1013)</f>
        <v>0</v>
      </c>
    </row>
    <row r="1015" spans="1:7" ht="19.899999999999999" customHeight="1">
      <c r="A1015" s="513"/>
      <c r="B1015" s="163"/>
      <c r="C1015" s="455" t="s">
        <v>712</v>
      </c>
      <c r="D1015" s="459"/>
      <c r="E1015" s="460"/>
      <c r="F1015" s="461"/>
      <c r="G1015" s="514"/>
    </row>
    <row r="1016" spans="1:7" ht="19.899999999999999" customHeight="1">
      <c r="A1016" s="677" t="s">
        <v>575</v>
      </c>
      <c r="B1016" s="678"/>
      <c r="C1016" s="679" t="s">
        <v>0</v>
      </c>
      <c r="D1016" s="681" t="s">
        <v>23</v>
      </c>
      <c r="E1016" s="681" t="s">
        <v>1830</v>
      </c>
      <c r="F1016" s="683" t="s">
        <v>1006</v>
      </c>
      <c r="G1016" s="685" t="s">
        <v>25</v>
      </c>
    </row>
    <row r="1017" spans="1:7" ht="19.899999999999999" customHeight="1">
      <c r="A1017" s="477" t="s">
        <v>576</v>
      </c>
      <c r="B1017" s="477" t="s">
        <v>577</v>
      </c>
      <c r="C1017" s="680"/>
      <c r="D1017" s="682"/>
      <c r="E1017" s="682"/>
      <c r="F1017" s="684"/>
      <c r="G1017" s="686"/>
    </row>
    <row r="1018" spans="1:7" ht="19.899999999999999" customHeight="1">
      <c r="A1018" s="515">
        <f t="shared" ref="A1018:A1023" si="332">IFERROR(VLOOKUP(C1018,T_Insumos,4,FALSE),0)</f>
        <v>0</v>
      </c>
      <c r="B1018" s="478">
        <f t="shared" ref="B1018:B1023" si="333">IFERROR(VLOOKUP(C1018,T_Insumos,5,FALSE),0)</f>
        <v>0</v>
      </c>
      <c r="C1018" s="482"/>
      <c r="D1018" s="475"/>
      <c r="E1018" s="472">
        <f t="shared" ref="E1018:E1021" si="334">IFERROR(VLOOKUP(C1018,T_Insumos,3,FALSE),0)</f>
        <v>0</v>
      </c>
      <c r="F1018" s="475">
        <f>IF(C1018="",0,IFERROR(VLOOKUP(COUNTIF($A$1:A1018,"ANALISIS DE PRECIOS"),T_Rendimiento_Equipo,5,FALSE),0))</f>
        <v>0</v>
      </c>
      <c r="G1018" s="472">
        <f>IFERROR(ROUND(D1018*E1018/F1018,2),0)</f>
        <v>0</v>
      </c>
    </row>
    <row r="1019" spans="1:7" ht="19.899999999999999" customHeight="1">
      <c r="A1019" s="515">
        <f t="shared" si="332"/>
        <v>0</v>
      </c>
      <c r="B1019" s="478">
        <f t="shared" si="333"/>
        <v>0</v>
      </c>
      <c r="C1019" s="469"/>
      <c r="D1019" s="475"/>
      <c r="E1019" s="472">
        <f t="shared" si="334"/>
        <v>0</v>
      </c>
      <c r="F1019" s="475">
        <f>IF(C1019="",0,IFERROR(VLOOKUP(COUNTIF($A$1:A1019,"ANALISIS DE PRECIOS"),T_Rendimiento_Equipo,5,FALSE),0))</f>
        <v>0</v>
      </c>
      <c r="G1019" s="472">
        <f>IFERROR(ROUND(D1019*E1019/F1019,2),0)</f>
        <v>0</v>
      </c>
    </row>
    <row r="1020" spans="1:7" ht="19.899999999999999" customHeight="1">
      <c r="A1020" s="515">
        <f t="shared" si="332"/>
        <v>0</v>
      </c>
      <c r="B1020" s="478">
        <f t="shared" si="333"/>
        <v>0</v>
      </c>
      <c r="C1020" s="469"/>
      <c r="D1020" s="475"/>
      <c r="E1020" s="472">
        <f t="shared" si="334"/>
        <v>0</v>
      </c>
      <c r="F1020" s="475">
        <f>IF(C1020="",0,IFERROR(VLOOKUP(COUNTIF($A$1:A1020,"ANALISIS DE PRECIOS"),T_Rendimiento_Equipo,5,FALSE),0))</f>
        <v>0</v>
      </c>
      <c r="G1020" s="472">
        <f t="shared" ref="G1020:G1023" si="335">IFERROR(ROUND(D1020*E1020/F1020,2),0)</f>
        <v>0</v>
      </c>
    </row>
    <row r="1021" spans="1:7" ht="19.899999999999999" customHeight="1">
      <c r="A1021" s="515">
        <f t="shared" si="332"/>
        <v>0</v>
      </c>
      <c r="B1021" s="478">
        <f t="shared" si="333"/>
        <v>0</v>
      </c>
      <c r="C1021" s="469"/>
      <c r="D1021" s="475"/>
      <c r="E1021" s="472">
        <f t="shared" si="334"/>
        <v>0</v>
      </c>
      <c r="F1021" s="475">
        <f>IF(C1021="",0,IFERROR(VLOOKUP(COUNTIF($A$1:A1021,"ANALISIS DE PRECIOS"),T_Rendimiento_Equipo,5,FALSE),0))</f>
        <v>0</v>
      </c>
      <c r="G1021" s="472">
        <f t="shared" si="335"/>
        <v>0</v>
      </c>
    </row>
    <row r="1022" spans="1:7" ht="19.899999999999999" customHeight="1">
      <c r="A1022" s="515">
        <f t="shared" si="332"/>
        <v>0</v>
      </c>
      <c r="B1022" s="478">
        <f t="shared" si="333"/>
        <v>0</v>
      </c>
      <c r="C1022" s="469"/>
      <c r="D1022" s="475"/>
      <c r="E1022" s="472">
        <f t="shared" ref="E1022:E1023" si="336">IFERROR(VLOOKUP(C1022,T_Insumos,3,FALSE),0)</f>
        <v>0</v>
      </c>
      <c r="F1022" s="475">
        <f>IF(C1022="",0,IFERROR(VLOOKUP(COUNTIF($A$1:A1022,"ANALISIS DE PRECIOS"),T_Rendimiento_Equipo,5,FALSE),0))</f>
        <v>0</v>
      </c>
      <c r="G1022" s="472">
        <f t="shared" si="335"/>
        <v>0</v>
      </c>
    </row>
    <row r="1023" spans="1:7" ht="19.899999999999999" customHeight="1">
      <c r="A1023" s="515">
        <f t="shared" si="332"/>
        <v>0</v>
      </c>
      <c r="B1023" s="478">
        <f t="shared" si="333"/>
        <v>0</v>
      </c>
      <c r="C1023" s="469"/>
      <c r="D1023" s="483"/>
      <c r="E1023" s="472">
        <f t="shared" si="336"/>
        <v>0</v>
      </c>
      <c r="F1023" s="475">
        <f>IF(C1023="",0,IFERROR(VLOOKUP(COUNTIF($A$1:A1023,"ANALISIS DE PRECIOS"),T_Rendimiento_Equipo,5,FALSE),0))</f>
        <v>0</v>
      </c>
      <c r="G1023" s="472">
        <f t="shared" si="335"/>
        <v>0</v>
      </c>
    </row>
    <row r="1024" spans="1:7" ht="19.899999999999999" customHeight="1">
      <c r="A1024" s="515">
        <f t="shared" ref="A1024" si="337">IFERROR(VLOOKUP(C1024,T_Insumos,4,FALSE),0)</f>
        <v>0</v>
      </c>
      <c r="B1024" s="478">
        <f t="shared" ref="B1024" si="338">IFERROR(VLOOKUP(C1024,T_Insumos,5,FALSE),0)</f>
        <v>0</v>
      </c>
      <c r="C1024" s="469"/>
      <c r="D1024" s="483"/>
      <c r="E1024" s="472">
        <f>SUMPRODUCT(D1019:D1022,E1019:E1022)</f>
        <v>0</v>
      </c>
      <c r="F1024" s="610">
        <f>+$D$1000</f>
        <v>0</v>
      </c>
      <c r="G1024" s="472">
        <f>IFERROR(ROUND(D1024*E1024/F1024,2),0)</f>
        <v>0</v>
      </c>
    </row>
    <row r="1025" spans="1:7" ht="19.899999999999999" customHeight="1">
      <c r="A1025" s="516"/>
      <c r="B1025" s="459"/>
      <c r="C1025" s="163"/>
      <c r="D1025" s="614"/>
      <c r="E1025" s="460"/>
      <c r="F1025" s="481" t="s">
        <v>27</v>
      </c>
      <c r="G1025" s="518">
        <f>SUBTOTAL(9,G1018:G1024)</f>
        <v>0</v>
      </c>
    </row>
    <row r="1026" spans="1:7" ht="19.899999999999999" customHeight="1">
      <c r="A1026" s="513"/>
      <c r="B1026" s="163"/>
      <c r="C1026" s="455" t="s">
        <v>1013</v>
      </c>
      <c r="D1026" s="459"/>
      <c r="E1026" s="460"/>
      <c r="F1026" s="461"/>
      <c r="G1026" s="514"/>
    </row>
    <row r="1027" spans="1:7" ht="19.899999999999999" customHeight="1">
      <c r="A1027" s="677" t="s">
        <v>575</v>
      </c>
      <c r="B1027" s="678"/>
      <c r="C1027" s="679" t="s">
        <v>0</v>
      </c>
      <c r="D1027" s="679" t="s">
        <v>1865</v>
      </c>
      <c r="E1027" s="681" t="s">
        <v>23</v>
      </c>
      <c r="F1027" s="683" t="s">
        <v>24</v>
      </c>
      <c r="G1027" s="685" t="s">
        <v>25</v>
      </c>
    </row>
    <row r="1028" spans="1:7" ht="19.899999999999999" customHeight="1">
      <c r="A1028" s="477" t="s">
        <v>576</v>
      </c>
      <c r="B1028" s="477" t="s">
        <v>577</v>
      </c>
      <c r="C1028" s="680"/>
      <c r="D1028" s="680"/>
      <c r="E1028" s="682"/>
      <c r="F1028" s="684"/>
      <c r="G1028" s="686"/>
    </row>
    <row r="1029" spans="1:7" ht="19.899999999999999" customHeight="1">
      <c r="A1029" s="515">
        <f t="shared" ref="A1029:A1038" si="339">IFERROR(VLOOKUP(C1029,T_Insumos,4,FALSE),0)</f>
        <v>0</v>
      </c>
      <c r="B1029" s="478">
        <f t="shared" ref="B1029:B1038" si="340">IFERROR(VLOOKUP(C1029,T_Insumos,5,FALSE),0)</f>
        <v>0</v>
      </c>
      <c r="C1029" s="478"/>
      <c r="D1029" s="526"/>
      <c r="E1029" s="470"/>
      <c r="F1029" s="472">
        <f t="shared" ref="F1029:F1039" si="341">IFERROR(VLOOKUP(C1029,T_Insumos,3,FALSE),0)</f>
        <v>0</v>
      </c>
      <c r="G1029" s="472">
        <f>ROUND(E1029*F1029,2)</f>
        <v>0</v>
      </c>
    </row>
    <row r="1030" spans="1:7" ht="19.899999999999999" customHeight="1">
      <c r="A1030" s="515">
        <f t="shared" si="339"/>
        <v>0</v>
      </c>
      <c r="B1030" s="478">
        <f t="shared" si="340"/>
        <v>0</v>
      </c>
      <c r="C1030" s="478"/>
      <c r="D1030" s="526"/>
      <c r="E1030" s="470"/>
      <c r="F1030" s="472">
        <f t="shared" si="341"/>
        <v>0</v>
      </c>
      <c r="G1030" s="472">
        <f t="shared" ref="G1030:G1039" si="342">ROUND(E1030*F1030,2)</f>
        <v>0</v>
      </c>
    </row>
    <row r="1031" spans="1:7" ht="19.899999999999999" customHeight="1">
      <c r="A1031" s="515">
        <f t="shared" si="339"/>
        <v>0</v>
      </c>
      <c r="B1031" s="478">
        <f t="shared" si="340"/>
        <v>0</v>
      </c>
      <c r="C1031" s="478"/>
      <c r="D1031" s="526"/>
      <c r="E1031" s="470"/>
      <c r="F1031" s="472">
        <f t="shared" si="341"/>
        <v>0</v>
      </c>
      <c r="G1031" s="472">
        <f t="shared" si="342"/>
        <v>0</v>
      </c>
    </row>
    <row r="1032" spans="1:7" ht="19.899999999999999" customHeight="1">
      <c r="A1032" s="515">
        <f t="shared" si="339"/>
        <v>0</v>
      </c>
      <c r="B1032" s="478">
        <f t="shared" si="340"/>
        <v>0</v>
      </c>
      <c r="C1032" s="478"/>
      <c r="D1032" s="526"/>
      <c r="E1032" s="470"/>
      <c r="F1032" s="472">
        <f t="shared" si="341"/>
        <v>0</v>
      </c>
      <c r="G1032" s="472">
        <f t="shared" si="342"/>
        <v>0</v>
      </c>
    </row>
    <row r="1033" spans="1:7" ht="19.899999999999999" customHeight="1">
      <c r="A1033" s="515">
        <f t="shared" si="339"/>
        <v>0</v>
      </c>
      <c r="B1033" s="478">
        <f t="shared" si="340"/>
        <v>0</v>
      </c>
      <c r="C1033" s="478"/>
      <c r="D1033" s="526"/>
      <c r="E1033" s="470"/>
      <c r="F1033" s="472">
        <f t="shared" si="341"/>
        <v>0</v>
      </c>
      <c r="G1033" s="472">
        <f t="shared" si="342"/>
        <v>0</v>
      </c>
    </row>
    <row r="1034" spans="1:7" ht="19.899999999999999" customHeight="1">
      <c r="A1034" s="515">
        <f t="shared" si="339"/>
        <v>0</v>
      </c>
      <c r="B1034" s="478">
        <f t="shared" si="340"/>
        <v>0</v>
      </c>
      <c r="C1034" s="478"/>
      <c r="D1034" s="526"/>
      <c r="E1034" s="470"/>
      <c r="F1034" s="472">
        <f t="shared" si="341"/>
        <v>0</v>
      </c>
      <c r="G1034" s="472">
        <f t="shared" si="342"/>
        <v>0</v>
      </c>
    </row>
    <row r="1035" spans="1:7" ht="19.899999999999999" customHeight="1">
      <c r="A1035" s="515">
        <f t="shared" si="339"/>
        <v>0</v>
      </c>
      <c r="B1035" s="478">
        <f t="shared" si="340"/>
        <v>0</v>
      </c>
      <c r="C1035" s="478"/>
      <c r="D1035" s="526"/>
      <c r="E1035" s="470"/>
      <c r="F1035" s="472">
        <f t="shared" si="341"/>
        <v>0</v>
      </c>
      <c r="G1035" s="472">
        <f t="shared" si="342"/>
        <v>0</v>
      </c>
    </row>
    <row r="1036" spans="1:7" ht="19.899999999999999" customHeight="1">
      <c r="A1036" s="515">
        <f t="shared" si="339"/>
        <v>0</v>
      </c>
      <c r="B1036" s="478">
        <f t="shared" si="340"/>
        <v>0</v>
      </c>
      <c r="C1036" s="478"/>
      <c r="D1036" s="526"/>
      <c r="E1036" s="470"/>
      <c r="F1036" s="472">
        <f t="shared" si="341"/>
        <v>0</v>
      </c>
      <c r="G1036" s="472">
        <f t="shared" si="342"/>
        <v>0</v>
      </c>
    </row>
    <row r="1037" spans="1:7" ht="19.899999999999999" customHeight="1">
      <c r="A1037" s="515">
        <f t="shared" si="339"/>
        <v>0</v>
      </c>
      <c r="B1037" s="478">
        <f t="shared" si="340"/>
        <v>0</v>
      </c>
      <c r="C1037" s="478"/>
      <c r="D1037" s="526"/>
      <c r="E1037" s="470"/>
      <c r="F1037" s="472">
        <f t="shared" si="341"/>
        <v>0</v>
      </c>
      <c r="G1037" s="472">
        <f t="shared" si="342"/>
        <v>0</v>
      </c>
    </row>
    <row r="1038" spans="1:7" ht="19.899999999999999" customHeight="1">
      <c r="A1038" s="515">
        <f t="shared" si="339"/>
        <v>0</v>
      </c>
      <c r="B1038" s="478">
        <f t="shared" si="340"/>
        <v>0</v>
      </c>
      <c r="C1038" s="478"/>
      <c r="D1038" s="526"/>
      <c r="E1038" s="470"/>
      <c r="F1038" s="472">
        <f t="shared" si="341"/>
        <v>0</v>
      </c>
      <c r="G1038" s="472">
        <f t="shared" si="342"/>
        <v>0</v>
      </c>
    </row>
    <row r="1039" spans="1:7" ht="19.899999999999999" customHeight="1">
      <c r="A1039" s="515">
        <f t="shared" ref="A1039" si="343">IFERROR(VLOOKUP(C1039,T_Insumos,4,FALSE),0)</f>
        <v>0</v>
      </c>
      <c r="B1039" s="478">
        <f t="shared" ref="B1039" si="344">IFERROR(VLOOKUP(C1039,T_Insumos,5,FALSE),0)</f>
        <v>0</v>
      </c>
      <c r="C1039" s="478"/>
      <c r="D1039" s="526"/>
      <c r="E1039" s="470"/>
      <c r="F1039" s="472">
        <f t="shared" si="341"/>
        <v>0</v>
      </c>
      <c r="G1039" s="472">
        <f t="shared" si="342"/>
        <v>0</v>
      </c>
    </row>
    <row r="1040" spans="1:7" ht="19.899999999999999" customHeight="1">
      <c r="A1040" s="513"/>
      <c r="B1040" s="163"/>
      <c r="C1040" s="163"/>
      <c r="D1040" s="459"/>
      <c r="E1040" s="460"/>
      <c r="F1040" s="481" t="s">
        <v>28</v>
      </c>
      <c r="G1040" s="518">
        <f>SUBTOTAL(9,G1029:G1039)</f>
        <v>0</v>
      </c>
    </row>
    <row r="1041" spans="1:7" ht="19.899999999999999" customHeight="1">
      <c r="A1041" s="513"/>
      <c r="B1041" s="163"/>
      <c r="C1041" s="455" t="s">
        <v>1014</v>
      </c>
      <c r="D1041" s="459"/>
      <c r="E1041" s="460"/>
      <c r="F1041" s="461"/>
      <c r="G1041" s="514"/>
    </row>
    <row r="1042" spans="1:7" ht="19.899999999999999" customHeight="1">
      <c r="A1042" s="677" t="s">
        <v>575</v>
      </c>
      <c r="B1042" s="678"/>
      <c r="C1042" s="679" t="s">
        <v>0</v>
      </c>
      <c r="D1042" s="679" t="s">
        <v>1865</v>
      </c>
      <c r="E1042" s="681" t="s">
        <v>23</v>
      </c>
      <c r="F1042" s="683" t="s">
        <v>24</v>
      </c>
      <c r="G1042" s="685" t="s">
        <v>25</v>
      </c>
    </row>
    <row r="1043" spans="1:7" ht="19.899999999999999" customHeight="1">
      <c r="A1043" s="477" t="s">
        <v>576</v>
      </c>
      <c r="B1043" s="477" t="s">
        <v>577</v>
      </c>
      <c r="C1043" s="680"/>
      <c r="D1043" s="680"/>
      <c r="E1043" s="682"/>
      <c r="F1043" s="684"/>
      <c r="G1043" s="686"/>
    </row>
    <row r="1044" spans="1:7" ht="19.899999999999999" customHeight="1">
      <c r="A1044" s="515">
        <f>IFERROR(VLOOKUP(C1044,T_Insumos,4,FALSE),0)</f>
        <v>0</v>
      </c>
      <c r="B1044" s="478">
        <f>IFERROR(VLOOKUP(C1044,T_Insumos,5,FALSE),0)</f>
        <v>0</v>
      </c>
      <c r="C1044" s="469"/>
      <c r="D1044" s="526">
        <f>IF(C1044=0,0,"$/tnkm")</f>
        <v>0</v>
      </c>
      <c r="E1044" s="470"/>
      <c r="F1044" s="472">
        <f>IFERROR(VLOOKUP(C1044,T_Insumos,3,FALSE),0)</f>
        <v>0</v>
      </c>
      <c r="G1044" s="472">
        <f>ROUND(E1044*F1044,2)</f>
        <v>0</v>
      </c>
    </row>
    <row r="1045" spans="1:7" ht="19.899999999999999" customHeight="1">
      <c r="A1045" s="515">
        <f>IFERROR(VLOOKUP(C1045,T_Insumos,4,FALSE),0)</f>
        <v>0</v>
      </c>
      <c r="B1045" s="478">
        <f>IFERROR(VLOOKUP(C1045,T_Insumos,5,FALSE),0)</f>
        <v>0</v>
      </c>
      <c r="C1045" s="469"/>
      <c r="D1045" s="526">
        <f>IF(C1045=0,0,"$/tnkm")</f>
        <v>0</v>
      </c>
      <c r="E1045" s="486"/>
      <c r="F1045" s="472">
        <f>IFERROR(VLOOKUP(C1045,T_Insumos,3,FALSE),0)</f>
        <v>0</v>
      </c>
      <c r="G1045" s="472">
        <f t="shared" ref="G1045" si="345">ROUND(E1045*F1045,2)</f>
        <v>0</v>
      </c>
    </row>
    <row r="1046" spans="1:7" ht="19.899999999999999" customHeight="1">
      <c r="A1046" s="513"/>
      <c r="B1046" s="163"/>
      <c r="C1046" s="163"/>
      <c r="D1046" s="459"/>
      <c r="E1046" s="460"/>
      <c r="F1046" s="481" t="s">
        <v>1015</v>
      </c>
      <c r="G1046" s="518">
        <f>SUBTOTAL(9,G1044:G1045)</f>
        <v>0</v>
      </c>
    </row>
    <row r="1047" spans="1:7" ht="19.899999999999999" customHeight="1">
      <c r="A1047" s="516"/>
      <c r="B1047" s="459"/>
      <c r="C1047" s="163"/>
      <c r="D1047" s="459"/>
      <c r="E1047" s="460"/>
      <c r="F1047" s="461"/>
      <c r="G1047" s="514"/>
    </row>
    <row r="1048" spans="1:7" ht="19.899999999999999" customHeight="1">
      <c r="A1048" s="574" t="str">
        <f>B982</f>
        <v>4.1.1</v>
      </c>
      <c r="B1048" s="571" t="str">
        <f ca="1">C982</f>
        <v>Reemplazo de compuertas desarenador</v>
      </c>
      <c r="C1048" s="459"/>
      <c r="D1048" s="459" t="s">
        <v>1831</v>
      </c>
      <c r="E1048" s="572"/>
      <c r="F1048" s="573" t="str">
        <f ca="1">"$/"&amp;G982</f>
        <v>$/gl.</v>
      </c>
      <c r="G1048" s="523">
        <f>SUBTOTAL(9,G1005:G1047)</f>
        <v>0</v>
      </c>
    </row>
    <row r="1049" spans="1:7" ht="19.899999999999999" customHeight="1">
      <c r="A1049" s="519"/>
      <c r="B1049" s="520"/>
      <c r="C1049" s="521"/>
      <c r="D1049" s="521" t="s">
        <v>2041</v>
      </c>
      <c r="E1049" s="522"/>
      <c r="F1049" s="575" t="str">
        <f ca="1">"$/"&amp;G982</f>
        <v>$/gl.</v>
      </c>
      <c r="G1049" s="615">
        <f>ROUND(G1048*Coeficiente_Paso,2)</f>
        <v>0</v>
      </c>
    </row>
    <row r="1050" spans="1:7" ht="19.899999999999999" customHeight="1">
      <c r="A1050" s="163"/>
      <c r="B1050" s="163"/>
      <c r="C1050" s="163"/>
      <c r="D1050" s="163"/>
      <c r="E1050" s="163"/>
      <c r="F1050" s="163"/>
      <c r="G1050" s="163"/>
    </row>
    <row r="1051" spans="1:7" ht="19.899999999999999" customHeight="1">
      <c r="A1051" s="687" t="s">
        <v>30</v>
      </c>
      <c r="B1051" s="688"/>
      <c r="C1051" s="688"/>
      <c r="D1051" s="688"/>
      <c r="E1051" s="688"/>
      <c r="F1051" s="688"/>
      <c r="G1051" s="689"/>
    </row>
    <row r="1052" spans="1:7" ht="19.899999999999999" customHeight="1">
      <c r="A1052" s="502" t="s">
        <v>710</v>
      </c>
      <c r="B1052" s="453" t="str">
        <f>Comitente</f>
        <v>DEPARTAMENTO DE HIDRAULICA</v>
      </c>
      <c r="C1052" s="454"/>
      <c r="D1052" s="455"/>
      <c r="E1052" s="455"/>
      <c r="F1052" s="456"/>
      <c r="G1052" s="503"/>
    </row>
    <row r="1053" spans="1:7" ht="19.899999999999999" customHeight="1">
      <c r="A1053" s="502" t="s">
        <v>711</v>
      </c>
      <c r="B1053" s="453">
        <f>Contratista</f>
        <v>0</v>
      </c>
      <c r="C1053" s="457"/>
      <c r="D1053" s="457"/>
      <c r="E1053" s="457"/>
      <c r="F1053" s="453"/>
      <c r="G1053" s="504"/>
    </row>
    <row r="1054" spans="1:7" ht="19.899999999999999" customHeight="1">
      <c r="A1054" s="502" t="s">
        <v>20</v>
      </c>
      <c r="B1054" s="453" t="str">
        <f>Obra</f>
        <v>MEJORA DE LA RED DE RIEGO DEL VALLE DE JÁCHAL</v>
      </c>
      <c r="C1054" s="457"/>
      <c r="D1054" s="457"/>
      <c r="E1054" s="457"/>
      <c r="F1054" s="453" t="s">
        <v>31</v>
      </c>
      <c r="G1054" s="504" t="str">
        <f>Fecha_Base</f>
        <v>XX/07/2020</v>
      </c>
    </row>
    <row r="1055" spans="1:7" ht="19.899999999999999" customHeight="1">
      <c r="A1055" s="505" t="s">
        <v>709</v>
      </c>
      <c r="B1055" s="458" t="str">
        <f>Ubicación</f>
        <v>JACHAL</v>
      </c>
      <c r="C1055" s="458"/>
      <c r="D1055" s="459"/>
      <c r="E1055" s="460"/>
      <c r="F1055" s="461"/>
      <c r="G1055" s="506"/>
    </row>
    <row r="1056" spans="1:7" ht="19.899999999999999" customHeight="1">
      <c r="A1056" s="505" t="s">
        <v>32</v>
      </c>
      <c r="B1056" s="462">
        <f>IFERROR(VALUE(LEFT(B1057,FIND(".",B1057)-1)),"")</f>
        <v>4</v>
      </c>
      <c r="C1056" s="163" t="str">
        <f ca="1">IFERROR(VLOOKUP(B1056,T_Computo_Presupuesto,2,FALSE),0)</f>
        <v>DESARENADOR</v>
      </c>
      <c r="D1056" s="163"/>
      <c r="E1056" s="460"/>
      <c r="F1056" s="461"/>
      <c r="G1056" s="506"/>
    </row>
    <row r="1057" spans="1:7" ht="19.899999999999999" customHeight="1">
      <c r="A1057" s="505" t="s">
        <v>21</v>
      </c>
      <c r="B1057" s="463" t="str">
        <f>IFERROR(VLOOKUP(COUNTIF($A$1:A1057,"ANALISIS DE PRECIOS"),T_NumeroItem,2,FALSE),"")</f>
        <v>4.1.2</v>
      </c>
      <c r="C1057" s="690" t="str">
        <f ca="1">IFERROR(VLOOKUP(B1057,T_Computo_Presupuesto,2,FALSE),0)</f>
        <v>Motorizacion/Electrificacion desarenador</v>
      </c>
      <c r="D1057" s="690"/>
      <c r="E1057" s="690"/>
      <c r="F1057" s="458" t="s">
        <v>22</v>
      </c>
      <c r="G1057" s="507" t="str">
        <f ca="1">IFERROR(VLOOKUP(B1057,T_Computo_Presupuesto,4,FALSE),0)</f>
        <v>gl.</v>
      </c>
    </row>
    <row r="1058" spans="1:7" ht="19.899999999999999" customHeight="1">
      <c r="A1058" s="505"/>
      <c r="B1058" s="458"/>
      <c r="C1058" s="163"/>
      <c r="D1058" s="459"/>
      <c r="E1058" s="460"/>
      <c r="F1058" s="163"/>
      <c r="G1058" s="508"/>
    </row>
    <row r="1059" spans="1:7" ht="19.899999999999999" customHeight="1">
      <c r="A1059" s="509"/>
      <c r="B1059" s="464"/>
      <c r="C1059" s="465" t="s">
        <v>998</v>
      </c>
      <c r="D1059" s="464"/>
      <c r="E1059" s="464"/>
      <c r="F1059" s="464"/>
      <c r="G1059" s="510"/>
    </row>
    <row r="1060" spans="1:7" ht="19.899999999999999" customHeight="1">
      <c r="A1060" s="505"/>
      <c r="B1060" s="466"/>
      <c r="C1060" s="163"/>
      <c r="D1060" s="459"/>
      <c r="E1060" s="460"/>
      <c r="F1060" s="458"/>
      <c r="G1060" s="507"/>
    </row>
    <row r="1061" spans="1:7" ht="19.899999999999999" customHeight="1">
      <c r="A1061" s="505"/>
      <c r="B1061" s="466"/>
      <c r="C1061" s="467" t="s">
        <v>999</v>
      </c>
      <c r="D1061" s="468" t="s">
        <v>23</v>
      </c>
      <c r="E1061" s="468" t="s">
        <v>1000</v>
      </c>
      <c r="F1061" s="468" t="s">
        <v>1001</v>
      </c>
      <c r="G1061" s="467" t="s">
        <v>1002</v>
      </c>
    </row>
    <row r="1062" spans="1:7" ht="19.899999999999999" customHeight="1">
      <c r="A1062" s="505"/>
      <c r="B1062" s="466"/>
      <c r="C1062" s="469"/>
      <c r="D1062" s="470">
        <v>0.2</v>
      </c>
      <c r="E1062" s="471">
        <f t="shared" ref="E1062:E1065" si="346">IFERROR(VLOOKUP(C1062,T_Equipos,4,FALSE),0)</f>
        <v>0</v>
      </c>
      <c r="F1062" s="472">
        <f t="shared" ref="F1062:F1070" si="347">IFERROR(VLOOKUP(C1062,T_Equipos,5,FALSE),0)</f>
        <v>0</v>
      </c>
      <c r="G1062" s="472">
        <f>ROUND(D1062*F1062,2)</f>
        <v>0</v>
      </c>
    </row>
    <row r="1063" spans="1:7" ht="19.899999999999999" customHeight="1">
      <c r="A1063" s="505"/>
      <c r="B1063" s="466"/>
      <c r="C1063" s="469"/>
      <c r="D1063" s="470"/>
      <c r="E1063" s="471">
        <f t="shared" si="346"/>
        <v>0</v>
      </c>
      <c r="F1063" s="472">
        <f t="shared" si="347"/>
        <v>0</v>
      </c>
      <c r="G1063" s="472">
        <f>ROUND(D1063*F1063,2)</f>
        <v>0</v>
      </c>
    </row>
    <row r="1064" spans="1:7" ht="19.899999999999999" customHeight="1">
      <c r="A1064" s="505"/>
      <c r="B1064" s="466"/>
      <c r="C1064" s="469"/>
      <c r="D1064" s="470"/>
      <c r="E1064" s="471">
        <f t="shared" si="346"/>
        <v>0</v>
      </c>
      <c r="F1064" s="472">
        <f t="shared" si="347"/>
        <v>0</v>
      </c>
      <c r="G1064" s="472">
        <f>ROUND(D1064*F1064,2)</f>
        <v>0</v>
      </c>
    </row>
    <row r="1065" spans="1:7" ht="19.899999999999999" customHeight="1">
      <c r="A1065" s="505"/>
      <c r="B1065" s="466"/>
      <c r="C1065" s="469"/>
      <c r="D1065" s="470"/>
      <c r="E1065" s="471">
        <f t="shared" si="346"/>
        <v>0</v>
      </c>
      <c r="F1065" s="472">
        <f t="shared" si="347"/>
        <v>0</v>
      </c>
      <c r="G1065" s="472">
        <f>ROUND(D1065*F1065,2)</f>
        <v>0</v>
      </c>
    </row>
    <row r="1066" spans="1:7" ht="19.899999999999999" customHeight="1">
      <c r="A1066" s="505"/>
      <c r="B1066" s="466"/>
      <c r="C1066" s="469"/>
      <c r="D1066" s="470"/>
      <c r="E1066" s="471">
        <f t="shared" ref="E1066:E1071" si="348">IFERROR(VLOOKUP(C1066,T_Equipos,4,FALSE),0)</f>
        <v>0</v>
      </c>
      <c r="F1066" s="472">
        <f t="shared" si="347"/>
        <v>0</v>
      </c>
      <c r="G1066" s="472">
        <f t="shared" ref="G1066:G1071" si="349">ROUND(D1066*F1066,2)</f>
        <v>0</v>
      </c>
    </row>
    <row r="1067" spans="1:7" ht="19.899999999999999" customHeight="1">
      <c r="A1067" s="505"/>
      <c r="B1067" s="466"/>
      <c r="C1067" s="469"/>
      <c r="D1067" s="470"/>
      <c r="E1067" s="471">
        <f t="shared" si="348"/>
        <v>0</v>
      </c>
      <c r="F1067" s="472">
        <f t="shared" si="347"/>
        <v>0</v>
      </c>
      <c r="G1067" s="472">
        <f t="shared" si="349"/>
        <v>0</v>
      </c>
    </row>
    <row r="1068" spans="1:7" ht="19.899999999999999" customHeight="1">
      <c r="A1068" s="505"/>
      <c r="B1068" s="466"/>
      <c r="C1068" s="469"/>
      <c r="D1068" s="470"/>
      <c r="E1068" s="471">
        <f t="shared" si="348"/>
        <v>0</v>
      </c>
      <c r="F1068" s="472">
        <f t="shared" si="347"/>
        <v>0</v>
      </c>
      <c r="G1068" s="472">
        <f t="shared" si="349"/>
        <v>0</v>
      </c>
    </row>
    <row r="1069" spans="1:7" ht="19.899999999999999" customHeight="1">
      <c r="A1069" s="505"/>
      <c r="B1069" s="466"/>
      <c r="C1069" s="469"/>
      <c r="D1069" s="470"/>
      <c r="E1069" s="471">
        <f t="shared" si="348"/>
        <v>0</v>
      </c>
      <c r="F1069" s="472">
        <f t="shared" si="347"/>
        <v>0</v>
      </c>
      <c r="G1069" s="472">
        <f t="shared" si="349"/>
        <v>0</v>
      </c>
    </row>
    <row r="1070" spans="1:7" ht="19.899999999999999" customHeight="1">
      <c r="A1070" s="505"/>
      <c r="B1070" s="466"/>
      <c r="C1070" s="469"/>
      <c r="D1070" s="470"/>
      <c r="E1070" s="471">
        <f t="shared" si="348"/>
        <v>0</v>
      </c>
      <c r="F1070" s="472">
        <f t="shared" si="347"/>
        <v>0</v>
      </c>
      <c r="G1070" s="472">
        <f t="shared" si="349"/>
        <v>0</v>
      </c>
    </row>
    <row r="1071" spans="1:7" ht="19.899999999999999" customHeight="1">
      <c r="A1071" s="505"/>
      <c r="B1071" s="466"/>
      <c r="C1071" s="469"/>
      <c r="D1071" s="470"/>
      <c r="E1071" s="471">
        <f t="shared" si="348"/>
        <v>0</v>
      </c>
      <c r="F1071" s="472">
        <f t="shared" ref="F1071" si="350">IFERROR(VLOOKUP(C1071,T_Equipos,5,FALSE),0)</f>
        <v>0</v>
      </c>
      <c r="G1071" s="472">
        <f t="shared" si="349"/>
        <v>0</v>
      </c>
    </row>
    <row r="1072" spans="1:7" ht="19.899999999999999" customHeight="1">
      <c r="A1072" s="505"/>
      <c r="B1072" s="466"/>
      <c r="C1072" s="163"/>
      <c r="D1072" s="163"/>
      <c r="E1072" s="473"/>
      <c r="F1072" s="458"/>
      <c r="G1072" s="507"/>
    </row>
    <row r="1073" spans="1:7" ht="19.899999999999999" customHeight="1">
      <c r="A1073" s="505"/>
      <c r="B1073" s="163"/>
      <c r="C1073" s="455" t="s">
        <v>1003</v>
      </c>
      <c r="D1073" s="458" t="s">
        <v>1000</v>
      </c>
      <c r="E1073" s="524">
        <f>SUMPRODUCT(D1062:D1071,E1062:E1071)</f>
        <v>0</v>
      </c>
      <c r="F1073" s="458" t="s">
        <v>1004</v>
      </c>
      <c r="G1073" s="525">
        <f>SUM(G1062:G1071)</f>
        <v>0</v>
      </c>
    </row>
    <row r="1074" spans="1:7" ht="19.899999999999999" customHeight="1">
      <c r="A1074" s="505"/>
      <c r="B1074" s="466"/>
      <c r="C1074" s="474"/>
      <c r="D1074" s="473"/>
      <c r="E1074" s="460"/>
      <c r="F1074" s="458"/>
      <c r="G1074" s="511"/>
    </row>
    <row r="1075" spans="1:7" ht="19.899999999999999" customHeight="1">
      <c r="A1075" s="512"/>
      <c r="B1075" s="466"/>
      <c r="C1075" s="458" t="s">
        <v>1005</v>
      </c>
      <c r="D1075" s="611"/>
      <c r="E1075" s="476" t="str">
        <f ca="1">G1057&amp;"/día"</f>
        <v>gl./día</v>
      </c>
      <c r="F1075" s="452"/>
      <c r="G1075" s="507"/>
    </row>
    <row r="1076" spans="1:7" ht="19.899999999999999" customHeight="1">
      <c r="A1076" s="505"/>
      <c r="B1076" s="466"/>
      <c r="C1076" s="163"/>
      <c r="D1076" s="459"/>
      <c r="E1076" s="460"/>
      <c r="F1076" s="458"/>
      <c r="G1076" s="507"/>
    </row>
    <row r="1077" spans="1:7" ht="19.899999999999999" customHeight="1">
      <c r="A1077" s="677" t="s">
        <v>575</v>
      </c>
      <c r="B1077" s="678"/>
      <c r="C1077" s="679" t="s">
        <v>0</v>
      </c>
      <c r="D1077" s="691" t="s">
        <v>1864</v>
      </c>
      <c r="E1077" s="691" t="s">
        <v>1863</v>
      </c>
      <c r="F1077" s="683" t="s">
        <v>1006</v>
      </c>
      <c r="G1077" s="685" t="s">
        <v>25</v>
      </c>
    </row>
    <row r="1078" spans="1:7" ht="19.899999999999999" customHeight="1">
      <c r="A1078" s="477" t="s">
        <v>576</v>
      </c>
      <c r="B1078" s="477" t="s">
        <v>577</v>
      </c>
      <c r="C1078" s="680"/>
      <c r="D1078" s="692"/>
      <c r="E1078" s="682"/>
      <c r="F1078" s="684"/>
      <c r="G1078" s="686"/>
    </row>
    <row r="1079" spans="1:7" ht="19.899999999999999" customHeight="1">
      <c r="A1079" s="513"/>
      <c r="B1079" s="163"/>
      <c r="C1079" s="455" t="s">
        <v>1007</v>
      </c>
      <c r="D1079" s="460"/>
      <c r="E1079" s="460"/>
      <c r="F1079" s="163"/>
      <c r="G1079" s="514"/>
    </row>
    <row r="1080" spans="1:7" ht="19.899999999999999" customHeight="1">
      <c r="A1080" s="515">
        <f t="shared" ref="A1080:A1086" si="351">IFERROR(VLOOKUP(C1080,T_Insumos,4,FALSE),0)</f>
        <v>0</v>
      </c>
      <c r="B1080" s="478">
        <f t="shared" ref="B1080:B1086" si="352">IFERROR(VLOOKUP(C1080,T_Insumos,5,FALSE),0)</f>
        <v>0</v>
      </c>
      <c r="C1080" s="469"/>
      <c r="D1080" s="479">
        <f t="shared" ref="D1080:D1083" si="353">IFERROR(VLOOKUP(C1080,T_Insumos,3,FALSE),0)</f>
        <v>0</v>
      </c>
      <c r="E1080" s="472">
        <f>D1080*$G$1073</f>
        <v>0</v>
      </c>
      <c r="F1080" s="475">
        <f>IF(C1080="",0,IFERROR(VLOOKUP(COUNTIF($A$1:A1080,"ANALISIS DE PRECIOS"),T_Rendimiento_Equipo,5,FALSE),0))</f>
        <v>0</v>
      </c>
      <c r="G1080" s="472">
        <f>IFERROR(ROUND(E1080/F1080,2),0)</f>
        <v>0</v>
      </c>
    </row>
    <row r="1081" spans="1:7" ht="19.899999999999999" customHeight="1">
      <c r="A1081" s="515">
        <f t="shared" si="351"/>
        <v>0</v>
      </c>
      <c r="B1081" s="478">
        <f t="shared" si="352"/>
        <v>0</v>
      </c>
      <c r="C1081" s="469"/>
      <c r="D1081" s="479">
        <f t="shared" si="353"/>
        <v>0</v>
      </c>
      <c r="E1081" s="472">
        <f t="shared" ref="E1081:E1087" si="354">D1081*$G$1073</f>
        <v>0</v>
      </c>
      <c r="F1081" s="475">
        <f>IF(C1081="",0,IFERROR(VLOOKUP(COUNTIF($A$1:A1081,"ANALISIS DE PRECIOS"),T_Rendimiento_Equipo,5,FALSE),0))</f>
        <v>0</v>
      </c>
      <c r="G1081" s="472">
        <f t="shared" ref="G1081:G1083" si="355">IFERROR(ROUND(E1081/F1081,2),0)</f>
        <v>0</v>
      </c>
    </row>
    <row r="1082" spans="1:7" ht="19.899999999999999" customHeight="1">
      <c r="A1082" s="515">
        <f t="shared" si="351"/>
        <v>0</v>
      </c>
      <c r="B1082" s="478">
        <f t="shared" si="352"/>
        <v>0</v>
      </c>
      <c r="C1082" s="480"/>
      <c r="D1082" s="479">
        <f t="shared" si="353"/>
        <v>0</v>
      </c>
      <c r="E1082" s="472">
        <f t="shared" si="354"/>
        <v>0</v>
      </c>
      <c r="F1082" s="475">
        <f>IF(C1082="",0,IFERROR(VLOOKUP(COUNTIF($A$1:A1082,"ANALISIS DE PRECIOS"),T_Rendimiento_Equipo,5,FALSE),0))</f>
        <v>0</v>
      </c>
      <c r="G1082" s="472">
        <f t="shared" si="355"/>
        <v>0</v>
      </c>
    </row>
    <row r="1083" spans="1:7" ht="19.899999999999999" customHeight="1">
      <c r="A1083" s="515">
        <f t="shared" si="351"/>
        <v>0</v>
      </c>
      <c r="B1083" s="478">
        <f t="shared" si="352"/>
        <v>0</v>
      </c>
      <c r="C1083" s="480"/>
      <c r="D1083" s="479">
        <f t="shared" si="353"/>
        <v>0</v>
      </c>
      <c r="E1083" s="472">
        <f t="shared" si="354"/>
        <v>0</v>
      </c>
      <c r="F1083" s="475">
        <f>IF(C1083="",0,IFERROR(VLOOKUP(COUNTIF($A$1:A1083,"ANALISIS DE PRECIOS"),T_Rendimiento_Equipo,5,FALSE),0))</f>
        <v>0</v>
      </c>
      <c r="G1083" s="472">
        <f t="shared" si="355"/>
        <v>0</v>
      </c>
    </row>
    <row r="1084" spans="1:7" ht="19.899999999999999" customHeight="1">
      <c r="A1084" s="515">
        <f t="shared" si="351"/>
        <v>0</v>
      </c>
      <c r="B1084" s="478">
        <f t="shared" si="352"/>
        <v>0</v>
      </c>
      <c r="C1084" s="480"/>
      <c r="D1084" s="479">
        <f t="shared" ref="D1084:D1088" si="356">IFERROR(VLOOKUP(C1084,T_Insumos,3,FALSE),0)</f>
        <v>0</v>
      </c>
      <c r="E1084" s="472">
        <f t="shared" si="354"/>
        <v>0</v>
      </c>
      <c r="F1084" s="475">
        <f>IF(C1084="",0,IFERROR(VLOOKUP(COUNTIF($A$1:A1084,"ANALISIS DE PRECIOS"),T_Rendimiento_Equipo,5,FALSE),0))</f>
        <v>0</v>
      </c>
      <c r="G1084" s="472">
        <f t="shared" ref="G1084:G1088" si="357">IFERROR(ROUND(E1084/F1084,2),0)</f>
        <v>0</v>
      </c>
    </row>
    <row r="1085" spans="1:7" ht="19.899999999999999" customHeight="1">
      <c r="A1085" s="515">
        <f t="shared" si="351"/>
        <v>0</v>
      </c>
      <c r="B1085" s="478">
        <f t="shared" si="352"/>
        <v>0</v>
      </c>
      <c r="C1085" s="480"/>
      <c r="D1085" s="479">
        <f t="shared" si="356"/>
        <v>0</v>
      </c>
      <c r="E1085" s="472">
        <f t="shared" si="354"/>
        <v>0</v>
      </c>
      <c r="F1085" s="475">
        <f>IF(C1085="",0,IFERROR(VLOOKUP(COUNTIF($A$1:A1085,"ANALISIS DE PRECIOS"),T_Rendimiento_Equipo,5,FALSE),0))</f>
        <v>0</v>
      </c>
      <c r="G1085" s="472">
        <f t="shared" si="357"/>
        <v>0</v>
      </c>
    </row>
    <row r="1086" spans="1:7" ht="19.899999999999999" customHeight="1">
      <c r="A1086" s="515">
        <f t="shared" si="351"/>
        <v>0</v>
      </c>
      <c r="B1086" s="478">
        <f t="shared" si="352"/>
        <v>0</v>
      </c>
      <c r="C1086" s="480"/>
      <c r="D1086" s="479">
        <f t="shared" si="356"/>
        <v>0</v>
      </c>
      <c r="E1086" s="472">
        <f t="shared" si="354"/>
        <v>0</v>
      </c>
      <c r="F1086" s="475">
        <f>IF(C1086="",0,IFERROR(VLOOKUP(COUNTIF($A$1:A1086,"ANALISIS DE PRECIOS"),T_Rendimiento_Equipo,5,FALSE),0))</f>
        <v>0</v>
      </c>
      <c r="G1086" s="472">
        <f t="shared" si="357"/>
        <v>0</v>
      </c>
    </row>
    <row r="1087" spans="1:7" ht="19.899999999999999" customHeight="1">
      <c r="A1087" s="515">
        <f t="shared" ref="A1087:A1088" si="358">IFERROR(VLOOKUP(C1087,T_Insumos,4,FALSE),0)</f>
        <v>0</v>
      </c>
      <c r="B1087" s="478">
        <f t="shared" ref="B1087:B1088" si="359">IFERROR(VLOOKUP(C1087,T_Insumos,5,FALSE),0)</f>
        <v>0</v>
      </c>
      <c r="C1087" s="480"/>
      <c r="D1087" s="479">
        <f t="shared" si="356"/>
        <v>0</v>
      </c>
      <c r="E1087" s="472">
        <f t="shared" si="354"/>
        <v>0</v>
      </c>
      <c r="F1087" s="475">
        <f>IF(C1087="",0,IFERROR(VLOOKUP(COUNTIF($A$1:A1087,"ANALISIS DE PRECIOS"),T_Rendimiento_Equipo,5,FALSE),0))</f>
        <v>0</v>
      </c>
      <c r="G1087" s="472">
        <f t="shared" si="357"/>
        <v>0</v>
      </c>
    </row>
    <row r="1088" spans="1:7" ht="19.899999999999999" customHeight="1">
      <c r="A1088" s="515">
        <f t="shared" si="358"/>
        <v>0</v>
      </c>
      <c r="B1088" s="478">
        <f t="shared" si="359"/>
        <v>0</v>
      </c>
      <c r="C1088" s="469"/>
      <c r="D1088" s="479">
        <f t="shared" si="356"/>
        <v>0</v>
      </c>
      <c r="E1088" s="472"/>
      <c r="F1088" s="475">
        <f>IF(C1088="",0,IFERROR(VLOOKUP(COUNTIF($A$1:A1088,"ANALISIS DE PRECIOS"),T_Rendimiento_Equipo,5,FALSE),0))</f>
        <v>0</v>
      </c>
      <c r="G1088" s="472">
        <f t="shared" si="357"/>
        <v>0</v>
      </c>
    </row>
    <row r="1089" spans="1:7" ht="19.899999999999999" customHeight="1">
      <c r="A1089" s="516"/>
      <c r="B1089" s="459"/>
      <c r="C1089" s="163"/>
      <c r="D1089" s="459"/>
      <c r="E1089" s="460"/>
      <c r="F1089" s="481" t="s">
        <v>26</v>
      </c>
      <c r="G1089" s="517">
        <f>SUBTOTAL(9,G1080:G1088)</f>
        <v>0</v>
      </c>
    </row>
    <row r="1090" spans="1:7" ht="19.899999999999999" customHeight="1">
      <c r="A1090" s="513"/>
      <c r="B1090" s="163"/>
      <c r="C1090" s="455" t="s">
        <v>712</v>
      </c>
      <c r="D1090" s="459"/>
      <c r="E1090" s="460"/>
      <c r="F1090" s="461"/>
      <c r="G1090" s="514"/>
    </row>
    <row r="1091" spans="1:7" ht="19.899999999999999" customHeight="1">
      <c r="A1091" s="677" t="s">
        <v>575</v>
      </c>
      <c r="B1091" s="678"/>
      <c r="C1091" s="679" t="s">
        <v>0</v>
      </c>
      <c r="D1091" s="681" t="s">
        <v>23</v>
      </c>
      <c r="E1091" s="681" t="s">
        <v>1830</v>
      </c>
      <c r="F1091" s="683" t="s">
        <v>1006</v>
      </c>
      <c r="G1091" s="685" t="s">
        <v>25</v>
      </c>
    </row>
    <row r="1092" spans="1:7" ht="19.899999999999999" customHeight="1">
      <c r="A1092" s="477" t="s">
        <v>576</v>
      </c>
      <c r="B1092" s="477" t="s">
        <v>577</v>
      </c>
      <c r="C1092" s="680"/>
      <c r="D1092" s="682"/>
      <c r="E1092" s="682"/>
      <c r="F1092" s="684"/>
      <c r="G1092" s="686"/>
    </row>
    <row r="1093" spans="1:7" ht="19.899999999999999" customHeight="1">
      <c r="A1093" s="515">
        <f t="shared" ref="A1093:A1097" si="360">IFERROR(VLOOKUP(C1093,T_Insumos,4,FALSE),0)</f>
        <v>0</v>
      </c>
      <c r="B1093" s="478">
        <f t="shared" ref="B1093:B1097" si="361">IFERROR(VLOOKUP(C1093,T_Insumos,5,FALSE),0)</f>
        <v>0</v>
      </c>
      <c r="C1093" s="482"/>
      <c r="D1093" s="475"/>
      <c r="E1093" s="472">
        <f t="shared" ref="E1093:E1099" si="362">IFERROR(VLOOKUP(C1093,T_Insumos,3,FALSE),0)</f>
        <v>0</v>
      </c>
      <c r="F1093" s="475">
        <f>IF(C1093="",0,IFERROR(VLOOKUP(COUNTIF($A$1:A1093,"ANALISIS DE PRECIOS"),T_Rendimiento_Equipo,5,FALSE),0))</f>
        <v>0</v>
      </c>
      <c r="G1093" s="472">
        <f>IFERROR(ROUND(D1093*E1093/F1093,2),0)</f>
        <v>0</v>
      </c>
    </row>
    <row r="1094" spans="1:7" ht="19.899999999999999" customHeight="1">
      <c r="A1094" s="515">
        <f t="shared" si="360"/>
        <v>0</v>
      </c>
      <c r="B1094" s="478">
        <f t="shared" si="361"/>
        <v>0</v>
      </c>
      <c r="C1094" s="469"/>
      <c r="D1094" s="475"/>
      <c r="E1094" s="472">
        <f t="shared" si="362"/>
        <v>0</v>
      </c>
      <c r="F1094" s="475">
        <f>IF(C1094="",0,IFERROR(VLOOKUP(COUNTIF($A$1:A1094,"ANALISIS DE PRECIOS"),T_Rendimiento_Equipo,5,FALSE),0))</f>
        <v>0</v>
      </c>
      <c r="G1094" s="472">
        <f t="shared" ref="G1094:G1099" si="363">IFERROR(ROUND(D1094*E1094/F1094,2),0)</f>
        <v>0</v>
      </c>
    </row>
    <row r="1095" spans="1:7" ht="19.899999999999999" customHeight="1">
      <c r="A1095" s="515">
        <f t="shared" si="360"/>
        <v>0</v>
      </c>
      <c r="B1095" s="478">
        <f t="shared" si="361"/>
        <v>0</v>
      </c>
      <c r="C1095" s="469"/>
      <c r="D1095" s="475"/>
      <c r="E1095" s="472">
        <f t="shared" si="362"/>
        <v>0</v>
      </c>
      <c r="F1095" s="475">
        <f>IF(C1095="",0,IFERROR(VLOOKUP(COUNTIF($A$1:A1095,"ANALISIS DE PRECIOS"),T_Rendimiento_Equipo,5,FALSE),0))</f>
        <v>0</v>
      </c>
      <c r="G1095" s="472">
        <f t="shared" si="363"/>
        <v>0</v>
      </c>
    </row>
    <row r="1096" spans="1:7" ht="19.899999999999999" customHeight="1">
      <c r="A1096" s="515">
        <f t="shared" si="360"/>
        <v>0</v>
      </c>
      <c r="B1096" s="478">
        <f t="shared" si="361"/>
        <v>0</v>
      </c>
      <c r="C1096" s="469"/>
      <c r="D1096" s="475"/>
      <c r="E1096" s="472">
        <f t="shared" si="362"/>
        <v>0</v>
      </c>
      <c r="F1096" s="475">
        <f>IF(C1096="",0,IFERROR(VLOOKUP(COUNTIF($A$1:A1096,"ANALISIS DE PRECIOS"),T_Rendimiento_Equipo,5,FALSE),0))</f>
        <v>0</v>
      </c>
      <c r="G1096" s="472">
        <f t="shared" si="363"/>
        <v>0</v>
      </c>
    </row>
    <row r="1097" spans="1:7" ht="19.899999999999999" customHeight="1">
      <c r="A1097" s="515">
        <f t="shared" si="360"/>
        <v>0</v>
      </c>
      <c r="B1097" s="478">
        <f t="shared" si="361"/>
        <v>0</v>
      </c>
      <c r="C1097" s="469"/>
      <c r="D1097" s="475"/>
      <c r="E1097" s="472">
        <f t="shared" si="362"/>
        <v>0</v>
      </c>
      <c r="F1097" s="475">
        <f>IF(C1097="",0,IFERROR(VLOOKUP(COUNTIF($A$1:A1097,"ANALISIS DE PRECIOS"),T_Rendimiento_Equipo,5,FALSE),0))</f>
        <v>0</v>
      </c>
      <c r="G1097" s="472">
        <f t="shared" si="363"/>
        <v>0</v>
      </c>
    </row>
    <row r="1098" spans="1:7" ht="19.899999999999999" customHeight="1">
      <c r="A1098" s="515">
        <f t="shared" ref="A1098:A1099" si="364">IFERROR(VLOOKUP(C1098,T_Insumos,4,FALSE),0)</f>
        <v>0</v>
      </c>
      <c r="B1098" s="478">
        <f t="shared" ref="B1098:B1099" si="365">IFERROR(VLOOKUP(C1098,T_Insumos,5,FALSE),0)</f>
        <v>0</v>
      </c>
      <c r="C1098" s="469"/>
      <c r="D1098" s="483"/>
      <c r="E1098" s="472">
        <f t="shared" si="362"/>
        <v>0</v>
      </c>
      <c r="F1098" s="475">
        <f>IF(C1098="",0,IFERROR(VLOOKUP(COUNTIF($A$1:A1098,"ANALISIS DE PRECIOS"),T_Rendimiento_Equipo,5,FALSE),0))</f>
        <v>0</v>
      </c>
      <c r="G1098" s="472">
        <f t="shared" si="363"/>
        <v>0</v>
      </c>
    </row>
    <row r="1099" spans="1:7" ht="19.899999999999999" customHeight="1">
      <c r="A1099" s="515">
        <f t="shared" si="364"/>
        <v>0</v>
      </c>
      <c r="B1099" s="478">
        <f t="shared" si="365"/>
        <v>0</v>
      </c>
      <c r="C1099" s="478"/>
      <c r="D1099" s="484"/>
      <c r="E1099" s="472">
        <f t="shared" si="362"/>
        <v>0</v>
      </c>
      <c r="F1099" s="475">
        <f>IF(C1099="",0,IFERROR(VLOOKUP(COUNTIF($A$1:A1099,"ANALISIS DE PRECIOS"),T_Rendimiento_Equipo,5,FALSE),0))</f>
        <v>0</v>
      </c>
      <c r="G1099" s="472">
        <f t="shared" si="363"/>
        <v>0</v>
      </c>
    </row>
    <row r="1100" spans="1:7" ht="19.899999999999999" customHeight="1">
      <c r="A1100" s="516"/>
      <c r="B1100" s="459"/>
      <c r="C1100" s="163"/>
      <c r="D1100" s="459"/>
      <c r="E1100" s="460"/>
      <c r="F1100" s="481" t="s">
        <v>27</v>
      </c>
      <c r="G1100" s="518">
        <f>SUBTOTAL(9,G1093:G1099)</f>
        <v>0</v>
      </c>
    </row>
    <row r="1101" spans="1:7" ht="19.899999999999999" customHeight="1">
      <c r="A1101" s="513"/>
      <c r="B1101" s="163"/>
      <c r="C1101" s="455" t="s">
        <v>1013</v>
      </c>
      <c r="D1101" s="459"/>
      <c r="E1101" s="460"/>
      <c r="F1101" s="461"/>
      <c r="G1101" s="514"/>
    </row>
    <row r="1102" spans="1:7" ht="19.899999999999999" customHeight="1">
      <c r="A1102" s="677" t="s">
        <v>575</v>
      </c>
      <c r="B1102" s="678"/>
      <c r="C1102" s="679" t="s">
        <v>0</v>
      </c>
      <c r="D1102" s="679" t="s">
        <v>1865</v>
      </c>
      <c r="E1102" s="681" t="s">
        <v>23</v>
      </c>
      <c r="F1102" s="683" t="s">
        <v>24</v>
      </c>
      <c r="G1102" s="685" t="s">
        <v>25</v>
      </c>
    </row>
    <row r="1103" spans="1:7" ht="19.899999999999999" customHeight="1">
      <c r="A1103" s="477" t="s">
        <v>576</v>
      </c>
      <c r="B1103" s="477" t="s">
        <v>577</v>
      </c>
      <c r="C1103" s="680"/>
      <c r="D1103" s="680"/>
      <c r="E1103" s="682"/>
      <c r="F1103" s="684"/>
      <c r="G1103" s="686"/>
    </row>
    <row r="1104" spans="1:7" ht="19.899999999999999" customHeight="1">
      <c r="A1104" s="515">
        <f t="shared" ref="A1104:A1112" si="366">IFERROR(VLOOKUP(C1104,T_Insumos,4,FALSE),0)</f>
        <v>0</v>
      </c>
      <c r="B1104" s="478">
        <f t="shared" ref="B1104:B1112" si="367">IFERROR(VLOOKUP(C1104,T_Insumos,5,FALSE),0)</f>
        <v>0</v>
      </c>
      <c r="C1104" s="478"/>
      <c r="D1104" s="526"/>
      <c r="E1104" s="470"/>
      <c r="F1104" s="472">
        <f t="shared" ref="F1104:F1114" si="368">IFERROR(VLOOKUP(C1104,T_Insumos,3,FALSE),0)</f>
        <v>0</v>
      </c>
      <c r="G1104" s="472">
        <f>ROUND(E1104*F1104,2)</f>
        <v>0</v>
      </c>
    </row>
    <row r="1105" spans="1:7" ht="19.899999999999999" customHeight="1">
      <c r="A1105" s="515">
        <f t="shared" si="366"/>
        <v>0</v>
      </c>
      <c r="B1105" s="478">
        <f t="shared" si="367"/>
        <v>0</v>
      </c>
      <c r="C1105" s="478"/>
      <c r="D1105" s="526"/>
      <c r="E1105" s="470"/>
      <c r="F1105" s="472">
        <f t="shared" si="368"/>
        <v>0</v>
      </c>
      <c r="G1105" s="472">
        <f t="shared" ref="G1105:G1114" si="369">ROUND(E1105*F1105,2)</f>
        <v>0</v>
      </c>
    </row>
    <row r="1106" spans="1:7" ht="19.899999999999999" customHeight="1">
      <c r="A1106" s="515">
        <f t="shared" si="366"/>
        <v>0</v>
      </c>
      <c r="B1106" s="478">
        <f t="shared" si="367"/>
        <v>0</v>
      </c>
      <c r="C1106" s="478"/>
      <c r="D1106" s="526"/>
      <c r="E1106" s="470"/>
      <c r="F1106" s="472">
        <f t="shared" si="368"/>
        <v>0</v>
      </c>
      <c r="G1106" s="472">
        <f t="shared" si="369"/>
        <v>0</v>
      </c>
    </row>
    <row r="1107" spans="1:7" ht="19.899999999999999" customHeight="1">
      <c r="A1107" s="515">
        <f t="shared" si="366"/>
        <v>0</v>
      </c>
      <c r="B1107" s="478">
        <f t="shared" si="367"/>
        <v>0</v>
      </c>
      <c r="C1107" s="478"/>
      <c r="D1107" s="526"/>
      <c r="E1107" s="470"/>
      <c r="F1107" s="472">
        <f t="shared" si="368"/>
        <v>0</v>
      </c>
      <c r="G1107" s="472">
        <f t="shared" si="369"/>
        <v>0</v>
      </c>
    </row>
    <row r="1108" spans="1:7" ht="19.899999999999999" customHeight="1">
      <c r="A1108" s="515">
        <f t="shared" si="366"/>
        <v>0</v>
      </c>
      <c r="B1108" s="478">
        <f t="shared" si="367"/>
        <v>0</v>
      </c>
      <c r="C1108" s="478"/>
      <c r="D1108" s="526"/>
      <c r="E1108" s="470"/>
      <c r="F1108" s="472">
        <f t="shared" si="368"/>
        <v>0</v>
      </c>
      <c r="G1108" s="472">
        <f t="shared" si="369"/>
        <v>0</v>
      </c>
    </row>
    <row r="1109" spans="1:7" ht="19.899999999999999" customHeight="1">
      <c r="A1109" s="515">
        <f t="shared" si="366"/>
        <v>0</v>
      </c>
      <c r="B1109" s="478">
        <f t="shared" si="367"/>
        <v>0</v>
      </c>
      <c r="C1109" s="478"/>
      <c r="D1109" s="526"/>
      <c r="E1109" s="470"/>
      <c r="F1109" s="472">
        <f t="shared" si="368"/>
        <v>0</v>
      </c>
      <c r="G1109" s="472">
        <f t="shared" si="369"/>
        <v>0</v>
      </c>
    </row>
    <row r="1110" spans="1:7" ht="19.899999999999999" customHeight="1">
      <c r="A1110" s="515">
        <f t="shared" si="366"/>
        <v>0</v>
      </c>
      <c r="B1110" s="478">
        <f t="shared" si="367"/>
        <v>0</v>
      </c>
      <c r="C1110" s="478"/>
      <c r="D1110" s="526"/>
      <c r="E1110" s="470"/>
      <c r="F1110" s="472">
        <f t="shared" si="368"/>
        <v>0</v>
      </c>
      <c r="G1110" s="472">
        <f t="shared" si="369"/>
        <v>0</v>
      </c>
    </row>
    <row r="1111" spans="1:7" ht="19.899999999999999" customHeight="1">
      <c r="A1111" s="515">
        <f t="shared" si="366"/>
        <v>0</v>
      </c>
      <c r="B1111" s="478">
        <f t="shared" si="367"/>
        <v>0</v>
      </c>
      <c r="C1111" s="478"/>
      <c r="D1111" s="526"/>
      <c r="E1111" s="470"/>
      <c r="F1111" s="472">
        <f t="shared" si="368"/>
        <v>0</v>
      </c>
      <c r="G1111" s="472">
        <f t="shared" si="369"/>
        <v>0</v>
      </c>
    </row>
    <row r="1112" spans="1:7" ht="19.899999999999999" customHeight="1">
      <c r="A1112" s="515">
        <f t="shared" si="366"/>
        <v>0</v>
      </c>
      <c r="B1112" s="478">
        <f t="shared" si="367"/>
        <v>0</v>
      </c>
      <c r="C1112" s="478"/>
      <c r="D1112" s="526"/>
      <c r="E1112" s="470"/>
      <c r="F1112" s="472">
        <f t="shared" si="368"/>
        <v>0</v>
      </c>
      <c r="G1112" s="472">
        <f t="shared" si="369"/>
        <v>0</v>
      </c>
    </row>
    <row r="1113" spans="1:7" ht="19.899999999999999" customHeight="1">
      <c r="A1113" s="515">
        <f t="shared" ref="A1113:A1114" si="370">IFERROR(VLOOKUP(C1113,T_Insumos,4,FALSE),0)</f>
        <v>0</v>
      </c>
      <c r="B1113" s="478">
        <f t="shared" ref="B1113:B1114" si="371">IFERROR(VLOOKUP(C1113,T_Insumos,5,FALSE),0)</f>
        <v>0</v>
      </c>
      <c r="C1113" s="478"/>
      <c r="D1113" s="526"/>
      <c r="E1113" s="470"/>
      <c r="F1113" s="472">
        <f t="shared" si="368"/>
        <v>0</v>
      </c>
      <c r="G1113" s="472">
        <f t="shared" si="369"/>
        <v>0</v>
      </c>
    </row>
    <row r="1114" spans="1:7" ht="19.899999999999999" customHeight="1">
      <c r="A1114" s="515">
        <f t="shared" si="370"/>
        <v>0</v>
      </c>
      <c r="B1114" s="478">
        <f t="shared" si="371"/>
        <v>0</v>
      </c>
      <c r="C1114" s="478"/>
      <c r="D1114" s="526"/>
      <c r="E1114" s="470"/>
      <c r="F1114" s="472">
        <f t="shared" si="368"/>
        <v>0</v>
      </c>
      <c r="G1114" s="472">
        <f t="shared" si="369"/>
        <v>0</v>
      </c>
    </row>
    <row r="1115" spans="1:7" ht="19.899999999999999" customHeight="1">
      <c r="A1115" s="513"/>
      <c r="B1115" s="163"/>
      <c r="C1115" s="163"/>
      <c r="D1115" s="459"/>
      <c r="E1115" s="460"/>
      <c r="F1115" s="481" t="s">
        <v>28</v>
      </c>
      <c r="G1115" s="518">
        <f>SUBTOTAL(9,G1104:G1114)</f>
        <v>0</v>
      </c>
    </row>
    <row r="1116" spans="1:7" ht="19.899999999999999" customHeight="1">
      <c r="A1116" s="513"/>
      <c r="B1116" s="163"/>
      <c r="C1116" s="455" t="s">
        <v>1014</v>
      </c>
      <c r="D1116" s="459"/>
      <c r="E1116" s="460"/>
      <c r="F1116" s="461"/>
      <c r="G1116" s="514"/>
    </row>
    <row r="1117" spans="1:7" ht="19.899999999999999" customHeight="1">
      <c r="A1117" s="677" t="s">
        <v>575</v>
      </c>
      <c r="B1117" s="678"/>
      <c r="C1117" s="679" t="s">
        <v>0</v>
      </c>
      <c r="D1117" s="679" t="s">
        <v>1865</v>
      </c>
      <c r="E1117" s="681" t="s">
        <v>23</v>
      </c>
      <c r="F1117" s="683" t="s">
        <v>24</v>
      </c>
      <c r="G1117" s="685" t="s">
        <v>25</v>
      </c>
    </row>
    <row r="1118" spans="1:7" ht="19.899999999999999" customHeight="1">
      <c r="A1118" s="477" t="s">
        <v>576</v>
      </c>
      <c r="B1118" s="477" t="s">
        <v>577</v>
      </c>
      <c r="C1118" s="680"/>
      <c r="D1118" s="680"/>
      <c r="E1118" s="682"/>
      <c r="F1118" s="684"/>
      <c r="G1118" s="686"/>
    </row>
    <row r="1119" spans="1:7" ht="19.899999999999999" customHeight="1">
      <c r="A1119" s="515">
        <f>IFERROR(VLOOKUP(C1119,T_Insumos,4,FALSE),0)</f>
        <v>0</v>
      </c>
      <c r="B1119" s="478">
        <f>IFERROR(VLOOKUP(C1119,T_Insumos,5,FALSE),0)</f>
        <v>0</v>
      </c>
      <c r="C1119" s="469"/>
      <c r="D1119" s="526">
        <f>IF(C1119=0,0,"$/tnkm")</f>
        <v>0</v>
      </c>
      <c r="E1119" s="470"/>
      <c r="F1119" s="472">
        <f>IFERROR(VLOOKUP(C1119,T_Insumos,3,FALSE),0)</f>
        <v>0</v>
      </c>
      <c r="G1119" s="472">
        <f>ROUND(E1119*F1119,2)</f>
        <v>0</v>
      </c>
    </row>
    <row r="1120" spans="1:7" ht="19.899999999999999" customHeight="1">
      <c r="A1120" s="515">
        <f>IFERROR(VLOOKUP(C1120,T_Insumos,4,FALSE),0)</f>
        <v>0</v>
      </c>
      <c r="B1120" s="478">
        <f>IFERROR(VLOOKUP(C1120,T_Insumos,5,FALSE),0)</f>
        <v>0</v>
      </c>
      <c r="C1120" s="469"/>
      <c r="D1120" s="526">
        <f>IF(C1120=0,0,"$/tnkm")</f>
        <v>0</v>
      </c>
      <c r="E1120" s="486"/>
      <c r="F1120" s="472">
        <f>IFERROR(VLOOKUP(C1120,T_Insumos,3,FALSE),0)</f>
        <v>0</v>
      </c>
      <c r="G1120" s="472">
        <f t="shared" ref="G1120" si="372">ROUND(E1120*F1120,2)</f>
        <v>0</v>
      </c>
    </row>
    <row r="1121" spans="1:7" ht="19.899999999999999" customHeight="1">
      <c r="A1121" s="513"/>
      <c r="B1121" s="163"/>
      <c r="C1121" s="163"/>
      <c r="D1121" s="459"/>
      <c r="E1121" s="460"/>
      <c r="F1121" s="481" t="s">
        <v>1015</v>
      </c>
      <c r="G1121" s="518">
        <f>SUBTOTAL(9,G1119:G1120)</f>
        <v>0</v>
      </c>
    </row>
    <row r="1122" spans="1:7" ht="19.899999999999999" customHeight="1">
      <c r="A1122" s="516"/>
      <c r="B1122" s="459"/>
      <c r="C1122" s="163"/>
      <c r="D1122" s="459"/>
      <c r="E1122" s="460"/>
      <c r="F1122" s="461"/>
      <c r="G1122" s="514"/>
    </row>
    <row r="1123" spans="1:7" ht="19.899999999999999" customHeight="1">
      <c r="A1123" s="574" t="str">
        <f>B1057</f>
        <v>4.1.2</v>
      </c>
      <c r="B1123" s="571" t="str">
        <f ca="1">C1057</f>
        <v>Motorizacion/Electrificacion desarenador</v>
      </c>
      <c r="C1123" s="459"/>
      <c r="D1123" s="459" t="s">
        <v>1831</v>
      </c>
      <c r="E1123" s="572"/>
      <c r="F1123" s="573" t="str">
        <f ca="1">"$/"&amp;G1057</f>
        <v>$/gl.</v>
      </c>
      <c r="G1123" s="523">
        <f>SUBTOTAL(9,G1080:G1122)</f>
        <v>0</v>
      </c>
    </row>
    <row r="1124" spans="1:7" ht="19.899999999999999" customHeight="1">
      <c r="A1124" s="519"/>
      <c r="B1124" s="520"/>
      <c r="C1124" s="521"/>
      <c r="D1124" s="521" t="s">
        <v>2041</v>
      </c>
      <c r="E1124" s="522"/>
      <c r="F1124" s="575" t="str">
        <f ca="1">"$/"&amp;G1057</f>
        <v>$/gl.</v>
      </c>
      <c r="G1124" s="523">
        <f>ROUND(G1123*Coeficiente_Paso,2)</f>
        <v>0</v>
      </c>
    </row>
    <row r="1125" spans="1:7" ht="19.899999999999999" customHeight="1">
      <c r="A1125" s="163"/>
      <c r="B1125" s="163"/>
      <c r="C1125" s="163"/>
      <c r="D1125" s="163"/>
      <c r="E1125" s="163"/>
      <c r="F1125" s="163"/>
      <c r="G1125" s="163"/>
    </row>
    <row r="1126" spans="1:7" ht="19.899999999999999" customHeight="1">
      <c r="A1126" s="687" t="s">
        <v>30</v>
      </c>
      <c r="B1126" s="688"/>
      <c r="C1126" s="688"/>
      <c r="D1126" s="688"/>
      <c r="E1126" s="688"/>
      <c r="F1126" s="688"/>
      <c r="G1126" s="689"/>
    </row>
    <row r="1127" spans="1:7" ht="19.899999999999999" customHeight="1">
      <c r="A1127" s="502" t="s">
        <v>710</v>
      </c>
      <c r="B1127" s="453" t="str">
        <f>Comitente</f>
        <v>DEPARTAMENTO DE HIDRAULICA</v>
      </c>
      <c r="C1127" s="454"/>
      <c r="D1127" s="455"/>
      <c r="E1127" s="455"/>
      <c r="F1127" s="456"/>
      <c r="G1127" s="503"/>
    </row>
    <row r="1128" spans="1:7" ht="19.899999999999999" customHeight="1">
      <c r="A1128" s="502" t="s">
        <v>711</v>
      </c>
      <c r="B1128" s="453">
        <f>Contratista</f>
        <v>0</v>
      </c>
      <c r="C1128" s="457"/>
      <c r="D1128" s="457"/>
      <c r="E1128" s="457"/>
      <c r="F1128" s="453"/>
      <c r="G1128" s="504"/>
    </row>
    <row r="1129" spans="1:7" ht="19.899999999999999" customHeight="1">
      <c r="A1129" s="502" t="s">
        <v>20</v>
      </c>
      <c r="B1129" s="453" t="str">
        <f>Obra</f>
        <v>MEJORA DE LA RED DE RIEGO DEL VALLE DE JÁCHAL</v>
      </c>
      <c r="C1129" s="457"/>
      <c r="D1129" s="457"/>
      <c r="E1129" s="457"/>
      <c r="F1129" s="453" t="s">
        <v>31</v>
      </c>
      <c r="G1129" s="504" t="str">
        <f>Fecha_Base</f>
        <v>XX/07/2020</v>
      </c>
    </row>
    <row r="1130" spans="1:7" ht="19.899999999999999" customHeight="1">
      <c r="A1130" s="505" t="s">
        <v>709</v>
      </c>
      <c r="B1130" s="458" t="str">
        <f>Ubicación</f>
        <v>JACHAL</v>
      </c>
      <c r="C1130" s="458"/>
      <c r="D1130" s="459"/>
      <c r="E1130" s="460"/>
      <c r="F1130" s="461"/>
      <c r="G1130" s="506"/>
    </row>
    <row r="1131" spans="1:7" ht="19.899999999999999" customHeight="1">
      <c r="A1131" s="505" t="s">
        <v>32</v>
      </c>
      <c r="B1131" s="462">
        <f>IFERROR(VALUE(LEFT(B1132,FIND(".",B1132)-1)),"")</f>
        <v>5</v>
      </c>
      <c r="C1131" s="163" t="str">
        <f ca="1">IFERROR(VLOOKUP(B1131,T_Computo_Presupuesto,2,FALSE),0)</f>
        <v>CANAL MATRIZ</v>
      </c>
      <c r="D1131" s="163"/>
      <c r="E1131" s="460"/>
      <c r="F1131" s="461"/>
      <c r="G1131" s="506"/>
    </row>
    <row r="1132" spans="1:7" ht="19.899999999999999" customHeight="1">
      <c r="A1132" s="505" t="s">
        <v>21</v>
      </c>
      <c r="B1132" s="463" t="str">
        <f>IFERROR(VLOOKUP(COUNTIF($A$1:A1132,"ANALISIS DE PRECIOS"),T_NumeroItem,2,FALSE),"")</f>
        <v>5.1.1</v>
      </c>
      <c r="C1132" s="690" t="str">
        <f ca="1">IFERROR(VLOOKUP(B1132,T_Computo_Presupuesto,2,FALSE),0)</f>
        <v>Limpieza camino de servicio</v>
      </c>
      <c r="D1132" s="690"/>
      <c r="E1132" s="690"/>
      <c r="F1132" s="458" t="s">
        <v>22</v>
      </c>
      <c r="G1132" s="507" t="str">
        <f ca="1">IFERROR(VLOOKUP(B1132,T_Computo_Presupuesto,4,FALSE),0)</f>
        <v>m</v>
      </c>
    </row>
    <row r="1133" spans="1:7" ht="19.899999999999999" customHeight="1">
      <c r="A1133" s="505"/>
      <c r="B1133" s="458"/>
      <c r="C1133" s="163"/>
      <c r="D1133" s="459"/>
      <c r="E1133" s="460"/>
      <c r="F1133" s="163"/>
      <c r="G1133" s="508"/>
    </row>
    <row r="1134" spans="1:7" ht="19.899999999999999" customHeight="1">
      <c r="A1134" s="509"/>
      <c r="B1134" s="464"/>
      <c r="C1134" s="465" t="s">
        <v>998</v>
      </c>
      <c r="D1134" s="464"/>
      <c r="E1134" s="464"/>
      <c r="F1134" s="464"/>
      <c r="G1134" s="510"/>
    </row>
    <row r="1135" spans="1:7" ht="19.899999999999999" customHeight="1">
      <c r="A1135" s="505"/>
      <c r="B1135" s="466"/>
      <c r="C1135" s="163"/>
      <c r="D1135" s="459"/>
      <c r="E1135" s="460"/>
      <c r="F1135" s="458"/>
      <c r="G1135" s="507"/>
    </row>
    <row r="1136" spans="1:7" ht="19.899999999999999" customHeight="1">
      <c r="A1136" s="505"/>
      <c r="B1136" s="466"/>
      <c r="C1136" s="467" t="s">
        <v>999</v>
      </c>
      <c r="D1136" s="468" t="s">
        <v>23</v>
      </c>
      <c r="E1136" s="468" t="s">
        <v>1000</v>
      </c>
      <c r="F1136" s="468" t="s">
        <v>1001</v>
      </c>
      <c r="G1136" s="467" t="s">
        <v>1002</v>
      </c>
    </row>
    <row r="1137" spans="1:7" ht="19.899999999999999" customHeight="1">
      <c r="A1137" s="505"/>
      <c r="B1137" s="466"/>
      <c r="C1137" s="469"/>
      <c r="D1137" s="470">
        <v>1</v>
      </c>
      <c r="E1137" s="471">
        <f t="shared" ref="E1137:E1141" si="373">IFERROR(VLOOKUP(C1137,T_Equipos,4,FALSE),0)</f>
        <v>0</v>
      </c>
      <c r="F1137" s="472">
        <f t="shared" ref="F1137:F1141" si="374">IFERROR(VLOOKUP(C1137,T_Equipos,5,FALSE),0)</f>
        <v>0</v>
      </c>
      <c r="G1137" s="472">
        <f>ROUND(D1137*F1137,2)</f>
        <v>0</v>
      </c>
    </row>
    <row r="1138" spans="1:7" ht="19.899999999999999" customHeight="1">
      <c r="A1138" s="505"/>
      <c r="B1138" s="466"/>
      <c r="C1138" s="469"/>
      <c r="D1138" s="470">
        <v>1</v>
      </c>
      <c r="E1138" s="471">
        <f t="shared" si="373"/>
        <v>0</v>
      </c>
      <c r="F1138" s="472">
        <f t="shared" si="374"/>
        <v>0</v>
      </c>
      <c r="G1138" s="472">
        <f>ROUND(D1138*F1138,2)</f>
        <v>0</v>
      </c>
    </row>
    <row r="1139" spans="1:7" ht="19.899999999999999" customHeight="1">
      <c r="A1139" s="505"/>
      <c r="B1139" s="466"/>
      <c r="C1139" s="469"/>
      <c r="D1139" s="470">
        <v>1</v>
      </c>
      <c r="E1139" s="471">
        <f t="shared" si="373"/>
        <v>0</v>
      </c>
      <c r="F1139" s="472">
        <f t="shared" si="374"/>
        <v>0</v>
      </c>
      <c r="G1139" s="472">
        <f>ROUND(D1139*F1139,2)</f>
        <v>0</v>
      </c>
    </row>
    <row r="1140" spans="1:7" ht="19.899999999999999" customHeight="1">
      <c r="A1140" s="505"/>
      <c r="B1140" s="466"/>
      <c r="C1140" s="469"/>
      <c r="D1140" s="470"/>
      <c r="E1140" s="471">
        <f t="shared" si="373"/>
        <v>0</v>
      </c>
      <c r="F1140" s="472">
        <f t="shared" si="374"/>
        <v>0</v>
      </c>
      <c r="G1140" s="472">
        <f>ROUND(D1140*F1140,2)</f>
        <v>0</v>
      </c>
    </row>
    <row r="1141" spans="1:7" ht="19.899999999999999" customHeight="1">
      <c r="A1141" s="505"/>
      <c r="B1141" s="466"/>
      <c r="C1141" s="469"/>
      <c r="D1141" s="470"/>
      <c r="E1141" s="471">
        <f t="shared" si="373"/>
        <v>0</v>
      </c>
      <c r="F1141" s="472">
        <f t="shared" si="374"/>
        <v>0</v>
      </c>
      <c r="G1141" s="472">
        <f t="shared" ref="G1141:G1146" si="375">ROUND(D1141*F1141,2)</f>
        <v>0</v>
      </c>
    </row>
    <row r="1142" spans="1:7" ht="19.899999999999999" customHeight="1">
      <c r="A1142" s="505"/>
      <c r="B1142" s="466"/>
      <c r="C1142" s="469"/>
      <c r="D1142" s="470"/>
      <c r="E1142" s="471">
        <f t="shared" ref="E1142:E1146" si="376">IFERROR(VLOOKUP(C1142,T_Equipos,4,FALSE),0)</f>
        <v>0</v>
      </c>
      <c r="F1142" s="472">
        <f t="shared" ref="F1142:F1146" si="377">IFERROR(VLOOKUP(C1142,T_Equipos,5,FALSE),0)</f>
        <v>0</v>
      </c>
      <c r="G1142" s="472">
        <f t="shared" si="375"/>
        <v>0</v>
      </c>
    </row>
    <row r="1143" spans="1:7" ht="19.899999999999999" customHeight="1">
      <c r="A1143" s="505"/>
      <c r="B1143" s="466"/>
      <c r="C1143" s="469"/>
      <c r="D1143" s="470"/>
      <c r="E1143" s="471">
        <f t="shared" si="376"/>
        <v>0</v>
      </c>
      <c r="F1143" s="472">
        <f t="shared" si="377"/>
        <v>0</v>
      </c>
      <c r="G1143" s="472">
        <f t="shared" si="375"/>
        <v>0</v>
      </c>
    </row>
    <row r="1144" spans="1:7" ht="19.899999999999999" customHeight="1">
      <c r="A1144" s="505"/>
      <c r="B1144" s="466"/>
      <c r="C1144" s="469"/>
      <c r="D1144" s="470"/>
      <c r="E1144" s="471">
        <f t="shared" si="376"/>
        <v>0</v>
      </c>
      <c r="F1144" s="472">
        <f t="shared" si="377"/>
        <v>0</v>
      </c>
      <c r="G1144" s="472">
        <f t="shared" si="375"/>
        <v>0</v>
      </c>
    </row>
    <row r="1145" spans="1:7" ht="19.899999999999999" customHeight="1">
      <c r="A1145" s="505"/>
      <c r="B1145" s="466"/>
      <c r="C1145" s="469"/>
      <c r="D1145" s="470"/>
      <c r="E1145" s="471">
        <f t="shared" si="376"/>
        <v>0</v>
      </c>
      <c r="F1145" s="472">
        <f t="shared" si="377"/>
        <v>0</v>
      </c>
      <c r="G1145" s="472">
        <f t="shared" si="375"/>
        <v>0</v>
      </c>
    </row>
    <row r="1146" spans="1:7" ht="19.899999999999999" customHeight="1">
      <c r="A1146" s="505"/>
      <c r="B1146" s="466"/>
      <c r="C1146" s="469"/>
      <c r="D1146" s="470"/>
      <c r="E1146" s="471">
        <f t="shared" si="376"/>
        <v>0</v>
      </c>
      <c r="F1146" s="472">
        <f t="shared" si="377"/>
        <v>0</v>
      </c>
      <c r="G1146" s="472">
        <f t="shared" si="375"/>
        <v>0</v>
      </c>
    </row>
    <row r="1147" spans="1:7" ht="19.899999999999999" customHeight="1">
      <c r="A1147" s="505"/>
      <c r="B1147" s="466"/>
      <c r="C1147" s="163"/>
      <c r="D1147" s="163"/>
      <c r="E1147" s="473"/>
      <c r="F1147" s="458"/>
      <c r="G1147" s="507"/>
    </row>
    <row r="1148" spans="1:7" ht="19.899999999999999" customHeight="1">
      <c r="A1148" s="505"/>
      <c r="B1148" s="163"/>
      <c r="C1148" s="455" t="s">
        <v>1003</v>
      </c>
      <c r="D1148" s="458" t="s">
        <v>1000</v>
      </c>
      <c r="E1148" s="524">
        <f>SUMPRODUCT(D1137:D1146,E1137:E1146)</f>
        <v>0</v>
      </c>
      <c r="F1148" s="458" t="s">
        <v>1004</v>
      </c>
      <c r="G1148" s="525">
        <f>SUM(G1137:G1146)</f>
        <v>0</v>
      </c>
    </row>
    <row r="1149" spans="1:7" ht="19.899999999999999" customHeight="1">
      <c r="A1149" s="505"/>
      <c r="B1149" s="466"/>
      <c r="C1149" s="474"/>
      <c r="D1149" s="473"/>
      <c r="E1149" s="460"/>
      <c r="F1149" s="458"/>
      <c r="G1149" s="511"/>
    </row>
    <row r="1150" spans="1:7" ht="19.899999999999999" customHeight="1">
      <c r="A1150" s="512"/>
      <c r="B1150" s="466"/>
      <c r="C1150" s="458" t="s">
        <v>1005</v>
      </c>
      <c r="D1150" s="475"/>
      <c r="E1150" s="476" t="str">
        <f ca="1">G1132&amp;"/día"</f>
        <v>m/día</v>
      </c>
      <c r="F1150" s="452"/>
      <c r="G1150" s="507"/>
    </row>
    <row r="1151" spans="1:7" ht="19.899999999999999" customHeight="1">
      <c r="A1151" s="505"/>
      <c r="B1151" s="466"/>
      <c r="C1151" s="163"/>
      <c r="D1151" s="459"/>
      <c r="E1151" s="460"/>
      <c r="F1151" s="458"/>
      <c r="G1151" s="507"/>
    </row>
    <row r="1152" spans="1:7" ht="19.899999999999999" customHeight="1">
      <c r="A1152" s="677" t="s">
        <v>575</v>
      </c>
      <c r="B1152" s="678"/>
      <c r="C1152" s="679" t="s">
        <v>0</v>
      </c>
      <c r="D1152" s="691" t="s">
        <v>1864</v>
      </c>
      <c r="E1152" s="691" t="s">
        <v>1863</v>
      </c>
      <c r="F1152" s="683" t="s">
        <v>1006</v>
      </c>
      <c r="G1152" s="685" t="s">
        <v>25</v>
      </c>
    </row>
    <row r="1153" spans="1:7" ht="19.899999999999999" customHeight="1">
      <c r="A1153" s="477" t="s">
        <v>576</v>
      </c>
      <c r="B1153" s="477" t="s">
        <v>577</v>
      </c>
      <c r="C1153" s="680"/>
      <c r="D1153" s="692"/>
      <c r="E1153" s="682"/>
      <c r="F1153" s="684"/>
      <c r="G1153" s="686"/>
    </row>
    <row r="1154" spans="1:7" ht="19.899999999999999" customHeight="1">
      <c r="A1154" s="513"/>
      <c r="B1154" s="163"/>
      <c r="C1154" s="455" t="s">
        <v>1007</v>
      </c>
      <c r="D1154" s="460"/>
      <c r="E1154" s="460"/>
      <c r="F1154" s="163"/>
      <c r="G1154" s="514"/>
    </row>
    <row r="1155" spans="1:7" ht="19.899999999999999" customHeight="1">
      <c r="A1155" s="515">
        <f t="shared" ref="A1155:A1163" si="378">IFERROR(VLOOKUP(C1155,T_Insumos,4,FALSE),0)</f>
        <v>0</v>
      </c>
      <c r="B1155" s="478">
        <f t="shared" ref="B1155:B1163" si="379">IFERROR(VLOOKUP(C1155,T_Insumos,5,FALSE),0)</f>
        <v>0</v>
      </c>
      <c r="C1155" s="469"/>
      <c r="D1155" s="479">
        <f t="shared" ref="D1155:D1158" si="380">IFERROR(VLOOKUP(C1155,T_Insumos,3,FALSE),0)</f>
        <v>0</v>
      </c>
      <c r="E1155" s="472">
        <f>D1155*$G$1148</f>
        <v>0</v>
      </c>
      <c r="F1155" s="475">
        <f>IF(C1155="",0,IFERROR(VLOOKUP(COUNTIF($A$1:A1155,"ANALISIS DE PRECIOS"),T_Rendimiento_Equipo,5,FALSE),0))</f>
        <v>0</v>
      </c>
      <c r="G1155" s="472">
        <f>IFERROR(ROUND(E1155/F1155,2),0)</f>
        <v>0</v>
      </c>
    </row>
    <row r="1156" spans="1:7" ht="19.899999999999999" customHeight="1">
      <c r="A1156" s="515">
        <f t="shared" si="378"/>
        <v>0</v>
      </c>
      <c r="B1156" s="478">
        <f t="shared" si="379"/>
        <v>0</v>
      </c>
      <c r="C1156" s="469"/>
      <c r="D1156" s="479">
        <f t="shared" si="380"/>
        <v>0</v>
      </c>
      <c r="E1156" s="472">
        <f>D1156*$G$1148</f>
        <v>0</v>
      </c>
      <c r="F1156" s="475">
        <f>IF(C1156="",0,IFERROR(VLOOKUP(COUNTIF($A$1:A1156,"ANALISIS DE PRECIOS"),T_Rendimiento_Equipo,5,FALSE),0))</f>
        <v>0</v>
      </c>
      <c r="G1156" s="472">
        <f t="shared" ref="G1156:G1163" si="381">IFERROR(ROUND(E1156/F1156,2),0)</f>
        <v>0</v>
      </c>
    </row>
    <row r="1157" spans="1:7" ht="19.899999999999999" customHeight="1">
      <c r="A1157" s="515">
        <f t="shared" si="378"/>
        <v>0</v>
      </c>
      <c r="B1157" s="478">
        <f t="shared" si="379"/>
        <v>0</v>
      </c>
      <c r="C1157" s="480"/>
      <c r="D1157" s="479">
        <f t="shared" si="380"/>
        <v>0</v>
      </c>
      <c r="E1157" s="472">
        <f>D1157*$E$1148</f>
        <v>0</v>
      </c>
      <c r="F1157" s="475">
        <f>IF(C1157="",0,IFERROR(VLOOKUP(COUNTIF($A$1:A1157,"ANALISIS DE PRECIOS"),T_Rendimiento_Equipo,5,FALSE),0))</f>
        <v>0</v>
      </c>
      <c r="G1157" s="472">
        <f t="shared" si="381"/>
        <v>0</v>
      </c>
    </row>
    <row r="1158" spans="1:7" ht="19.899999999999999" customHeight="1">
      <c r="A1158" s="515">
        <f t="shared" si="378"/>
        <v>0</v>
      </c>
      <c r="B1158" s="478">
        <f t="shared" si="379"/>
        <v>0</v>
      </c>
      <c r="C1158" s="480"/>
      <c r="D1158" s="479">
        <f t="shared" si="380"/>
        <v>0</v>
      </c>
      <c r="E1158" s="472">
        <f t="shared" ref="E1158:E1163" si="382">D1158*$E$1148</f>
        <v>0</v>
      </c>
      <c r="F1158" s="475">
        <f>IF(C1158="",0,IFERROR(VLOOKUP(COUNTIF($A$1:A1158,"ANALISIS DE PRECIOS"),T_Rendimiento_Equipo,5,FALSE),0))</f>
        <v>0</v>
      </c>
      <c r="G1158" s="472">
        <f t="shared" si="381"/>
        <v>0</v>
      </c>
    </row>
    <row r="1159" spans="1:7" ht="19.899999999999999" customHeight="1">
      <c r="A1159" s="515">
        <f t="shared" si="378"/>
        <v>0</v>
      </c>
      <c r="B1159" s="478">
        <f t="shared" si="379"/>
        <v>0</v>
      </c>
      <c r="C1159" s="480"/>
      <c r="D1159" s="479">
        <f t="shared" ref="D1159:D1163" si="383">IFERROR(VLOOKUP(C1159,T_Insumos,3,FALSE),0)</f>
        <v>0</v>
      </c>
      <c r="E1159" s="472">
        <f t="shared" si="382"/>
        <v>0</v>
      </c>
      <c r="F1159" s="475">
        <f>IF(C1159="",0,IFERROR(VLOOKUP(COUNTIF($A$1:A1159,"ANALISIS DE PRECIOS"),T_Rendimiento_Equipo,5,FALSE),0))</f>
        <v>0</v>
      </c>
      <c r="G1159" s="472">
        <f t="shared" si="381"/>
        <v>0</v>
      </c>
    </row>
    <row r="1160" spans="1:7" ht="19.899999999999999" customHeight="1">
      <c r="A1160" s="515">
        <f t="shared" si="378"/>
        <v>0</v>
      </c>
      <c r="B1160" s="478">
        <f t="shared" si="379"/>
        <v>0</v>
      </c>
      <c r="C1160" s="480"/>
      <c r="D1160" s="479">
        <f t="shared" si="383"/>
        <v>0</v>
      </c>
      <c r="E1160" s="472">
        <f t="shared" si="382"/>
        <v>0</v>
      </c>
      <c r="F1160" s="475">
        <f>IF(C1160="",0,IFERROR(VLOOKUP(COUNTIF($A$1:A1160,"ANALISIS DE PRECIOS"),T_Rendimiento_Equipo,5,FALSE),0))</f>
        <v>0</v>
      </c>
      <c r="G1160" s="472">
        <f t="shared" si="381"/>
        <v>0</v>
      </c>
    </row>
    <row r="1161" spans="1:7" ht="19.899999999999999" customHeight="1">
      <c r="A1161" s="515">
        <f t="shared" si="378"/>
        <v>0</v>
      </c>
      <c r="B1161" s="478">
        <f t="shared" si="379"/>
        <v>0</v>
      </c>
      <c r="C1161" s="480"/>
      <c r="D1161" s="479">
        <f t="shared" si="383"/>
        <v>0</v>
      </c>
      <c r="E1161" s="472">
        <f t="shared" si="382"/>
        <v>0</v>
      </c>
      <c r="F1161" s="475">
        <f>IF(C1161="",0,IFERROR(VLOOKUP(COUNTIF($A$1:A1161,"ANALISIS DE PRECIOS"),T_Rendimiento_Equipo,5,FALSE),0))</f>
        <v>0</v>
      </c>
      <c r="G1161" s="472">
        <f t="shared" si="381"/>
        <v>0</v>
      </c>
    </row>
    <row r="1162" spans="1:7" ht="19.899999999999999" customHeight="1">
      <c r="A1162" s="515">
        <f t="shared" si="378"/>
        <v>0</v>
      </c>
      <c r="B1162" s="478">
        <f t="shared" si="379"/>
        <v>0</v>
      </c>
      <c r="C1162" s="480"/>
      <c r="D1162" s="479">
        <f t="shared" si="383"/>
        <v>0</v>
      </c>
      <c r="E1162" s="472">
        <f t="shared" si="382"/>
        <v>0</v>
      </c>
      <c r="F1162" s="475">
        <f>IF(C1162="",0,IFERROR(VLOOKUP(COUNTIF($A$1:A1162,"ANALISIS DE PRECIOS"),T_Rendimiento_Equipo,5,FALSE),0))</f>
        <v>0</v>
      </c>
      <c r="G1162" s="472">
        <f t="shared" si="381"/>
        <v>0</v>
      </c>
    </row>
    <row r="1163" spans="1:7" ht="19.899999999999999" customHeight="1">
      <c r="A1163" s="515">
        <f t="shared" si="378"/>
        <v>0</v>
      </c>
      <c r="B1163" s="478">
        <f t="shared" si="379"/>
        <v>0</v>
      </c>
      <c r="C1163" s="469"/>
      <c r="D1163" s="479">
        <f t="shared" si="383"/>
        <v>0</v>
      </c>
      <c r="E1163" s="472">
        <f t="shared" si="382"/>
        <v>0</v>
      </c>
      <c r="F1163" s="475">
        <f>IF(C1163="",0,IFERROR(VLOOKUP(COUNTIF($A$1:A1163,"ANALISIS DE PRECIOS"),T_Rendimiento_Equipo,5,FALSE),0))</f>
        <v>0</v>
      </c>
      <c r="G1163" s="472">
        <f t="shared" si="381"/>
        <v>0</v>
      </c>
    </row>
    <row r="1164" spans="1:7" ht="19.899999999999999" customHeight="1">
      <c r="A1164" s="516"/>
      <c r="B1164" s="459"/>
      <c r="C1164" s="163"/>
      <c r="D1164" s="459"/>
      <c r="E1164" s="460"/>
      <c r="F1164" s="481" t="s">
        <v>26</v>
      </c>
      <c r="G1164" s="517">
        <f>SUBTOTAL(9,G1155:G1163)</f>
        <v>0</v>
      </c>
    </row>
    <row r="1165" spans="1:7" ht="19.899999999999999" customHeight="1">
      <c r="A1165" s="513"/>
      <c r="B1165" s="163"/>
      <c r="C1165" s="455" t="s">
        <v>712</v>
      </c>
      <c r="D1165" s="459"/>
      <c r="E1165" s="460"/>
      <c r="F1165" s="461"/>
      <c r="G1165" s="514"/>
    </row>
    <row r="1166" spans="1:7" ht="19.899999999999999" customHeight="1">
      <c r="A1166" s="677" t="s">
        <v>575</v>
      </c>
      <c r="B1166" s="678"/>
      <c r="C1166" s="679" t="s">
        <v>0</v>
      </c>
      <c r="D1166" s="681" t="s">
        <v>23</v>
      </c>
      <c r="E1166" s="681" t="s">
        <v>1830</v>
      </c>
      <c r="F1166" s="683" t="s">
        <v>1006</v>
      </c>
      <c r="G1166" s="685" t="s">
        <v>25</v>
      </c>
    </row>
    <row r="1167" spans="1:7" ht="19.899999999999999" customHeight="1">
      <c r="A1167" s="477" t="s">
        <v>576</v>
      </c>
      <c r="B1167" s="477" t="s">
        <v>577</v>
      </c>
      <c r="C1167" s="680"/>
      <c r="D1167" s="682"/>
      <c r="E1167" s="682"/>
      <c r="F1167" s="684"/>
      <c r="G1167" s="686"/>
    </row>
    <row r="1168" spans="1:7" ht="19.899999999999999" customHeight="1">
      <c r="A1168" s="515">
        <f t="shared" ref="A1168:A1171" si="384">IFERROR(VLOOKUP(C1168,T_Insumos,4,FALSE),0)</f>
        <v>0</v>
      </c>
      <c r="B1168" s="478">
        <f t="shared" ref="B1168:B1171" si="385">IFERROR(VLOOKUP(C1168,T_Insumos,5,FALSE),0)</f>
        <v>0</v>
      </c>
      <c r="C1168" s="482"/>
      <c r="D1168" s="475"/>
      <c r="E1168" s="472">
        <f t="shared" ref="E1168:E1174" si="386">IFERROR(VLOOKUP(C1168,T_Insumos,3,FALSE),0)</f>
        <v>0</v>
      </c>
      <c r="F1168" s="475">
        <f>IF(C1168="",0,IFERROR(VLOOKUP(COUNTIF($A$1:A1168,"ANALISIS DE PRECIOS"),T_Rendimiento_Equipo,5,FALSE),0))</f>
        <v>0</v>
      </c>
      <c r="G1168" s="472">
        <f>IFERROR(ROUND(D1168*E1168/F1168,2),0)</f>
        <v>0</v>
      </c>
    </row>
    <row r="1169" spans="1:7" ht="19.899999999999999" customHeight="1">
      <c r="A1169" s="515">
        <f t="shared" si="384"/>
        <v>0</v>
      </c>
      <c r="B1169" s="478">
        <f t="shared" si="385"/>
        <v>0</v>
      </c>
      <c r="C1169" s="469"/>
      <c r="D1169" s="475"/>
      <c r="E1169" s="472">
        <f t="shared" si="386"/>
        <v>0</v>
      </c>
      <c r="F1169" s="475">
        <f>IF(C1169="",0,IFERROR(VLOOKUP(COUNTIF($A$1:A1169,"ANALISIS DE PRECIOS"),T_Rendimiento_Equipo,5,FALSE),0))</f>
        <v>0</v>
      </c>
      <c r="G1169" s="472">
        <f t="shared" ref="G1169:G1174" si="387">IFERROR(ROUND(D1169*E1169/F1169,2),0)</f>
        <v>0</v>
      </c>
    </row>
    <row r="1170" spans="1:7" ht="19.899999999999999" customHeight="1">
      <c r="A1170" s="515">
        <f t="shared" si="384"/>
        <v>0</v>
      </c>
      <c r="B1170" s="478">
        <f t="shared" si="385"/>
        <v>0</v>
      </c>
      <c r="C1170" s="469"/>
      <c r="D1170" s="475"/>
      <c r="E1170" s="472">
        <f t="shared" si="386"/>
        <v>0</v>
      </c>
      <c r="F1170" s="475">
        <f>IF(C1170="",0,IFERROR(VLOOKUP(COUNTIF($A$1:A1170,"ANALISIS DE PRECIOS"),T_Rendimiento_Equipo,5,FALSE),0))</f>
        <v>0</v>
      </c>
      <c r="G1170" s="472">
        <f t="shared" si="387"/>
        <v>0</v>
      </c>
    </row>
    <row r="1171" spans="1:7" ht="19.899999999999999" customHeight="1">
      <c r="A1171" s="515">
        <f t="shared" si="384"/>
        <v>0</v>
      </c>
      <c r="B1171" s="478">
        <f t="shared" si="385"/>
        <v>0</v>
      </c>
      <c r="C1171" s="469"/>
      <c r="D1171" s="475"/>
      <c r="E1171" s="472">
        <f t="shared" si="386"/>
        <v>0</v>
      </c>
      <c r="F1171" s="475">
        <f>IF(C1171="",0,IFERROR(VLOOKUP(COUNTIF($A$1:A1171,"ANALISIS DE PRECIOS"),T_Rendimiento_Equipo,5,FALSE),0))</f>
        <v>0</v>
      </c>
      <c r="G1171" s="472">
        <f t="shared" si="387"/>
        <v>0</v>
      </c>
    </row>
    <row r="1172" spans="1:7" ht="19.899999999999999" customHeight="1">
      <c r="A1172" s="515">
        <f t="shared" ref="A1172:A1174" si="388">IFERROR(VLOOKUP(C1172,T_Insumos,4,FALSE),0)</f>
        <v>0</v>
      </c>
      <c r="B1172" s="478">
        <f t="shared" ref="B1172:B1174" si="389">IFERROR(VLOOKUP(C1172,T_Insumos,5,FALSE),0)</f>
        <v>0</v>
      </c>
      <c r="C1172" s="469"/>
      <c r="D1172" s="475"/>
      <c r="E1172" s="472">
        <f t="shared" si="386"/>
        <v>0</v>
      </c>
      <c r="F1172" s="475">
        <f>IF(C1172="",0,IFERROR(VLOOKUP(COUNTIF($A$1:A1172,"ANALISIS DE PRECIOS"),T_Rendimiento_Equipo,5,FALSE),0))</f>
        <v>0</v>
      </c>
      <c r="G1172" s="472">
        <f t="shared" si="387"/>
        <v>0</v>
      </c>
    </row>
    <row r="1173" spans="1:7" ht="19.899999999999999" customHeight="1">
      <c r="A1173" s="515">
        <f t="shared" si="388"/>
        <v>0</v>
      </c>
      <c r="B1173" s="478">
        <f t="shared" si="389"/>
        <v>0</v>
      </c>
      <c r="C1173" s="469"/>
      <c r="D1173" s="483"/>
      <c r="E1173" s="472">
        <f t="shared" si="386"/>
        <v>0</v>
      </c>
      <c r="F1173" s="475">
        <f>IF(C1173="",0,IFERROR(VLOOKUP(COUNTIF($A$1:A1173,"ANALISIS DE PRECIOS"),T_Rendimiento_Equipo,5,FALSE),0))</f>
        <v>0</v>
      </c>
      <c r="G1173" s="472">
        <f t="shared" si="387"/>
        <v>0</v>
      </c>
    </row>
    <row r="1174" spans="1:7" ht="19.899999999999999" customHeight="1">
      <c r="A1174" s="515">
        <f t="shared" si="388"/>
        <v>0</v>
      </c>
      <c r="B1174" s="478">
        <f t="shared" si="389"/>
        <v>0</v>
      </c>
      <c r="C1174" s="478"/>
      <c r="D1174" s="484"/>
      <c r="E1174" s="472">
        <f t="shared" si="386"/>
        <v>0</v>
      </c>
      <c r="F1174" s="475">
        <f>IF(C1174="",0,IFERROR(VLOOKUP(COUNTIF($A$1:A1174,"ANALISIS DE PRECIOS"),T_Rendimiento_Equipo,5,FALSE),0))</f>
        <v>0</v>
      </c>
      <c r="G1174" s="472">
        <f t="shared" si="387"/>
        <v>0</v>
      </c>
    </row>
    <row r="1175" spans="1:7" ht="19.899999999999999" customHeight="1">
      <c r="A1175" s="516"/>
      <c r="B1175" s="459"/>
      <c r="C1175" s="163"/>
      <c r="D1175" s="459"/>
      <c r="E1175" s="460"/>
      <c r="F1175" s="481" t="s">
        <v>27</v>
      </c>
      <c r="G1175" s="518">
        <f>SUBTOTAL(9,G1168:G1174)</f>
        <v>0</v>
      </c>
    </row>
    <row r="1176" spans="1:7" ht="19.899999999999999" customHeight="1">
      <c r="A1176" s="513"/>
      <c r="B1176" s="163"/>
      <c r="C1176" s="455" t="s">
        <v>1013</v>
      </c>
      <c r="D1176" s="459"/>
      <c r="E1176" s="460"/>
      <c r="F1176" s="461"/>
      <c r="G1176" s="514"/>
    </row>
    <row r="1177" spans="1:7" ht="19.899999999999999" customHeight="1">
      <c r="A1177" s="677" t="s">
        <v>575</v>
      </c>
      <c r="B1177" s="678"/>
      <c r="C1177" s="679" t="s">
        <v>0</v>
      </c>
      <c r="D1177" s="679" t="s">
        <v>1865</v>
      </c>
      <c r="E1177" s="681" t="s">
        <v>23</v>
      </c>
      <c r="F1177" s="683" t="s">
        <v>24</v>
      </c>
      <c r="G1177" s="685" t="s">
        <v>25</v>
      </c>
    </row>
    <row r="1178" spans="1:7" ht="19.899999999999999" customHeight="1">
      <c r="A1178" s="477" t="s">
        <v>576</v>
      </c>
      <c r="B1178" s="477" t="s">
        <v>577</v>
      </c>
      <c r="C1178" s="680"/>
      <c r="D1178" s="680"/>
      <c r="E1178" s="682"/>
      <c r="F1178" s="684"/>
      <c r="G1178" s="686"/>
    </row>
    <row r="1179" spans="1:7" ht="19.899999999999999" customHeight="1">
      <c r="A1179" s="515">
        <f t="shared" ref="A1179" si="390">IFERROR(VLOOKUP(C1179,T_Insumos,4,FALSE),0)</f>
        <v>0</v>
      </c>
      <c r="B1179" s="478">
        <f t="shared" ref="B1179" si="391">IFERROR(VLOOKUP(C1179,T_Insumos,5,FALSE),0)</f>
        <v>0</v>
      </c>
      <c r="C1179" s="478"/>
      <c r="D1179" s="526">
        <f t="shared" ref="D1179:D1189" si="392">IFERROR(VLOOKUP(C1179,T_Insumos,2,FALSE),0)</f>
        <v>0</v>
      </c>
      <c r="E1179" s="470"/>
      <c r="F1179" s="472">
        <f t="shared" ref="F1179:F1189" si="393">IFERROR(VLOOKUP(C1179,T_Insumos,3,FALSE),0)</f>
        <v>0</v>
      </c>
      <c r="G1179" s="472">
        <f>ROUND(E1179*F1179,2)</f>
        <v>0</v>
      </c>
    </row>
    <row r="1180" spans="1:7" ht="19.899999999999999" customHeight="1">
      <c r="A1180" s="515">
        <f t="shared" ref="A1180:A1189" si="394">IFERROR(VLOOKUP(C1180,T_Insumos,4,FALSE),0)</f>
        <v>0</v>
      </c>
      <c r="B1180" s="478">
        <f t="shared" ref="B1180:B1189" si="395">IFERROR(VLOOKUP(C1180,T_Insumos,5,FALSE),0)</f>
        <v>0</v>
      </c>
      <c r="C1180" s="478"/>
      <c r="D1180" s="526">
        <f t="shared" si="392"/>
        <v>0</v>
      </c>
      <c r="E1180" s="470"/>
      <c r="F1180" s="472">
        <f t="shared" si="393"/>
        <v>0</v>
      </c>
      <c r="G1180" s="472">
        <f t="shared" ref="G1180:G1189" si="396">ROUND(E1180*F1180,2)</f>
        <v>0</v>
      </c>
    </row>
    <row r="1181" spans="1:7" ht="19.899999999999999" customHeight="1">
      <c r="A1181" s="515">
        <f t="shared" si="394"/>
        <v>0</v>
      </c>
      <c r="B1181" s="478">
        <f t="shared" si="395"/>
        <v>0</v>
      </c>
      <c r="C1181" s="478"/>
      <c r="D1181" s="526">
        <f t="shared" si="392"/>
        <v>0</v>
      </c>
      <c r="E1181" s="470"/>
      <c r="F1181" s="472">
        <f t="shared" si="393"/>
        <v>0</v>
      </c>
      <c r="G1181" s="472">
        <f t="shared" si="396"/>
        <v>0</v>
      </c>
    </row>
    <row r="1182" spans="1:7" ht="19.899999999999999" customHeight="1">
      <c r="A1182" s="515">
        <f t="shared" si="394"/>
        <v>0</v>
      </c>
      <c r="B1182" s="478">
        <f t="shared" si="395"/>
        <v>0</v>
      </c>
      <c r="C1182" s="478"/>
      <c r="D1182" s="526">
        <f t="shared" si="392"/>
        <v>0</v>
      </c>
      <c r="E1182" s="470"/>
      <c r="F1182" s="472">
        <f t="shared" si="393"/>
        <v>0</v>
      </c>
      <c r="G1182" s="472">
        <f t="shared" si="396"/>
        <v>0</v>
      </c>
    </row>
    <row r="1183" spans="1:7" ht="19.899999999999999" customHeight="1">
      <c r="A1183" s="515">
        <f t="shared" si="394"/>
        <v>0</v>
      </c>
      <c r="B1183" s="478">
        <f t="shared" si="395"/>
        <v>0</v>
      </c>
      <c r="C1183" s="478"/>
      <c r="D1183" s="526">
        <f t="shared" si="392"/>
        <v>0</v>
      </c>
      <c r="E1183" s="470"/>
      <c r="F1183" s="472">
        <f t="shared" si="393"/>
        <v>0</v>
      </c>
      <c r="G1183" s="472">
        <f t="shared" si="396"/>
        <v>0</v>
      </c>
    </row>
    <row r="1184" spans="1:7" ht="19.899999999999999" customHeight="1">
      <c r="A1184" s="515">
        <f t="shared" si="394"/>
        <v>0</v>
      </c>
      <c r="B1184" s="478">
        <f t="shared" si="395"/>
        <v>0</v>
      </c>
      <c r="C1184" s="478"/>
      <c r="D1184" s="526">
        <f t="shared" si="392"/>
        <v>0</v>
      </c>
      <c r="E1184" s="470"/>
      <c r="F1184" s="472">
        <f t="shared" si="393"/>
        <v>0</v>
      </c>
      <c r="G1184" s="472">
        <f t="shared" si="396"/>
        <v>0</v>
      </c>
    </row>
    <row r="1185" spans="1:7" ht="19.899999999999999" customHeight="1">
      <c r="A1185" s="515">
        <f t="shared" si="394"/>
        <v>0</v>
      </c>
      <c r="B1185" s="478">
        <f t="shared" si="395"/>
        <v>0</v>
      </c>
      <c r="C1185" s="478"/>
      <c r="D1185" s="526">
        <f t="shared" si="392"/>
        <v>0</v>
      </c>
      <c r="E1185" s="470"/>
      <c r="F1185" s="472">
        <f t="shared" si="393"/>
        <v>0</v>
      </c>
      <c r="G1185" s="472">
        <f t="shared" si="396"/>
        <v>0</v>
      </c>
    </row>
    <row r="1186" spans="1:7" ht="19.899999999999999" customHeight="1">
      <c r="A1186" s="515">
        <f t="shared" si="394"/>
        <v>0</v>
      </c>
      <c r="B1186" s="478">
        <f t="shared" si="395"/>
        <v>0</v>
      </c>
      <c r="C1186" s="478"/>
      <c r="D1186" s="526">
        <f t="shared" si="392"/>
        <v>0</v>
      </c>
      <c r="E1186" s="470"/>
      <c r="F1186" s="472">
        <f t="shared" si="393"/>
        <v>0</v>
      </c>
      <c r="G1186" s="472">
        <f t="shared" si="396"/>
        <v>0</v>
      </c>
    </row>
    <row r="1187" spans="1:7" ht="19.899999999999999" customHeight="1">
      <c r="A1187" s="515">
        <f t="shared" si="394"/>
        <v>0</v>
      </c>
      <c r="B1187" s="478">
        <f t="shared" si="395"/>
        <v>0</v>
      </c>
      <c r="C1187" s="478"/>
      <c r="D1187" s="526">
        <f t="shared" si="392"/>
        <v>0</v>
      </c>
      <c r="E1187" s="470"/>
      <c r="F1187" s="472">
        <f t="shared" si="393"/>
        <v>0</v>
      </c>
      <c r="G1187" s="472">
        <f t="shared" si="396"/>
        <v>0</v>
      </c>
    </row>
    <row r="1188" spans="1:7" ht="19.899999999999999" customHeight="1">
      <c r="A1188" s="515">
        <f t="shared" si="394"/>
        <v>0</v>
      </c>
      <c r="B1188" s="478">
        <f t="shared" si="395"/>
        <v>0</v>
      </c>
      <c r="C1188" s="478"/>
      <c r="D1188" s="526">
        <f t="shared" si="392"/>
        <v>0</v>
      </c>
      <c r="E1188" s="470"/>
      <c r="F1188" s="472">
        <f t="shared" si="393"/>
        <v>0</v>
      </c>
      <c r="G1188" s="472">
        <f t="shared" si="396"/>
        <v>0</v>
      </c>
    </row>
    <row r="1189" spans="1:7" ht="19.899999999999999" customHeight="1">
      <c r="A1189" s="515">
        <f t="shared" si="394"/>
        <v>0</v>
      </c>
      <c r="B1189" s="478">
        <f t="shared" si="395"/>
        <v>0</v>
      </c>
      <c r="C1189" s="478"/>
      <c r="D1189" s="526">
        <f t="shared" si="392"/>
        <v>0</v>
      </c>
      <c r="E1189" s="470"/>
      <c r="F1189" s="472">
        <f t="shared" si="393"/>
        <v>0</v>
      </c>
      <c r="G1189" s="472">
        <f t="shared" si="396"/>
        <v>0</v>
      </c>
    </row>
    <row r="1190" spans="1:7" ht="19.899999999999999" customHeight="1">
      <c r="A1190" s="513"/>
      <c r="B1190" s="163"/>
      <c r="C1190" s="163"/>
      <c r="D1190" s="459"/>
      <c r="E1190" s="460"/>
      <c r="F1190" s="481" t="s">
        <v>28</v>
      </c>
      <c r="G1190" s="518">
        <f>SUBTOTAL(9,G1179:G1189)</f>
        <v>0</v>
      </c>
    </row>
    <row r="1191" spans="1:7" ht="19.899999999999999" customHeight="1">
      <c r="A1191" s="513"/>
      <c r="B1191" s="163"/>
      <c r="C1191" s="455" t="s">
        <v>1014</v>
      </c>
      <c r="D1191" s="459"/>
      <c r="E1191" s="460"/>
      <c r="F1191" s="461"/>
      <c r="G1191" s="514"/>
    </row>
    <row r="1192" spans="1:7" ht="19.899999999999999" customHeight="1">
      <c r="A1192" s="677" t="s">
        <v>575</v>
      </c>
      <c r="B1192" s="678"/>
      <c r="C1192" s="679" t="s">
        <v>0</v>
      </c>
      <c r="D1192" s="679" t="s">
        <v>1865</v>
      </c>
      <c r="E1192" s="681" t="s">
        <v>23</v>
      </c>
      <c r="F1192" s="683" t="s">
        <v>24</v>
      </c>
      <c r="G1192" s="685" t="s">
        <v>25</v>
      </c>
    </row>
    <row r="1193" spans="1:7" ht="19.899999999999999" customHeight="1">
      <c r="A1193" s="477" t="s">
        <v>576</v>
      </c>
      <c r="B1193" s="477" t="s">
        <v>577</v>
      </c>
      <c r="C1193" s="680"/>
      <c r="D1193" s="680"/>
      <c r="E1193" s="682"/>
      <c r="F1193" s="684"/>
      <c r="G1193" s="686"/>
    </row>
    <row r="1194" spans="1:7" ht="19.899999999999999" customHeight="1">
      <c r="A1194" s="515">
        <f>IFERROR(VLOOKUP(C1194,T_Insumos,4,FALSE),0)</f>
        <v>0</v>
      </c>
      <c r="B1194" s="478">
        <f>IFERROR(VLOOKUP(C1194,T_Insumos,5,FALSE),0)</f>
        <v>0</v>
      </c>
      <c r="C1194" s="469"/>
      <c r="D1194" s="526">
        <f>IF(C1194=0,0,"$/tnkm")</f>
        <v>0</v>
      </c>
      <c r="E1194" s="470"/>
      <c r="F1194" s="472">
        <f>IFERROR(VLOOKUP(C1194,T_Insumos,3,FALSE),0)</f>
        <v>0</v>
      </c>
      <c r="G1194" s="472">
        <f>ROUND(E1194*F1194,2)</f>
        <v>0</v>
      </c>
    </row>
    <row r="1195" spans="1:7" ht="19.899999999999999" customHeight="1">
      <c r="A1195" s="515">
        <f>IFERROR(VLOOKUP(C1195,T_Insumos,4,FALSE),0)</f>
        <v>0</v>
      </c>
      <c r="B1195" s="478">
        <f>IFERROR(VLOOKUP(C1195,T_Insumos,5,FALSE),0)</f>
        <v>0</v>
      </c>
      <c r="C1195" s="469"/>
      <c r="D1195" s="526">
        <f>IF(C1195=0,0,"$/tnkm")</f>
        <v>0</v>
      </c>
      <c r="E1195" s="486"/>
      <c r="F1195" s="472">
        <f>IFERROR(VLOOKUP(C1195,T_Insumos,3,FALSE),0)</f>
        <v>0</v>
      </c>
      <c r="G1195" s="472">
        <f t="shared" ref="G1195" si="397">ROUND(E1195*F1195,2)</f>
        <v>0</v>
      </c>
    </row>
    <row r="1196" spans="1:7" ht="19.899999999999999" customHeight="1">
      <c r="A1196" s="513"/>
      <c r="B1196" s="163"/>
      <c r="C1196" s="163"/>
      <c r="D1196" s="459"/>
      <c r="E1196" s="460"/>
      <c r="F1196" s="481" t="s">
        <v>1015</v>
      </c>
      <c r="G1196" s="518">
        <f>SUBTOTAL(9,G1194:G1195)</f>
        <v>0</v>
      </c>
    </row>
    <row r="1197" spans="1:7" ht="19.899999999999999" customHeight="1">
      <c r="A1197" s="516"/>
      <c r="B1197" s="459"/>
      <c r="C1197" s="163"/>
      <c r="D1197" s="459"/>
      <c r="E1197" s="460"/>
      <c r="F1197" s="461"/>
      <c r="G1197" s="514"/>
    </row>
    <row r="1198" spans="1:7" ht="19.899999999999999" customHeight="1">
      <c r="A1198" s="574" t="str">
        <f>B1132</f>
        <v>5.1.1</v>
      </c>
      <c r="B1198" s="571" t="str">
        <f ca="1">C1132</f>
        <v>Limpieza camino de servicio</v>
      </c>
      <c r="C1198" s="459"/>
      <c r="D1198" s="459" t="s">
        <v>1831</v>
      </c>
      <c r="E1198" s="572"/>
      <c r="F1198" s="573" t="str">
        <f ca="1">"$/"&amp;G1132</f>
        <v>$/m</v>
      </c>
      <c r="G1198" s="523">
        <f>SUBTOTAL(9,G1155:G1197)</f>
        <v>0</v>
      </c>
    </row>
    <row r="1199" spans="1:7" ht="19.899999999999999" customHeight="1">
      <c r="A1199" s="519"/>
      <c r="B1199" s="520"/>
      <c r="C1199" s="521"/>
      <c r="D1199" s="521" t="s">
        <v>2041</v>
      </c>
      <c r="E1199" s="522"/>
      <c r="F1199" s="575" t="str">
        <f ca="1">"$/"&amp;G1132</f>
        <v>$/m</v>
      </c>
      <c r="G1199" s="523">
        <f>ROUND(G1198*Coeficiente_Paso,2)</f>
        <v>0</v>
      </c>
    </row>
    <row r="1200" spans="1:7" ht="19.899999999999999" customHeight="1">
      <c r="A1200" s="163"/>
      <c r="B1200" s="163"/>
      <c r="C1200" s="163"/>
      <c r="D1200" s="163"/>
      <c r="E1200" s="163"/>
      <c r="F1200" s="163"/>
      <c r="G1200" s="163"/>
    </row>
    <row r="1201" spans="1:9" ht="19.899999999999999" customHeight="1">
      <c r="A1201" s="687" t="s">
        <v>30</v>
      </c>
      <c r="B1201" s="688"/>
      <c r="C1201" s="688"/>
      <c r="D1201" s="688"/>
      <c r="E1201" s="688"/>
      <c r="F1201" s="688"/>
      <c r="G1201" s="689"/>
      <c r="H1201" s="60"/>
    </row>
    <row r="1202" spans="1:9" ht="19.899999999999999" customHeight="1">
      <c r="A1202" s="502" t="s">
        <v>710</v>
      </c>
      <c r="B1202" s="453" t="str">
        <f>Comitente</f>
        <v>DEPARTAMENTO DE HIDRAULICA</v>
      </c>
      <c r="C1202" s="454"/>
      <c r="D1202" s="455"/>
      <c r="E1202" s="455"/>
      <c r="F1202" s="456"/>
      <c r="G1202" s="503"/>
      <c r="H1202" s="60"/>
    </row>
    <row r="1203" spans="1:9" ht="19.899999999999999" customHeight="1">
      <c r="A1203" s="502" t="s">
        <v>711</v>
      </c>
      <c r="B1203" s="453">
        <f>Contratista</f>
        <v>0</v>
      </c>
      <c r="C1203" s="457"/>
      <c r="D1203" s="457"/>
      <c r="E1203" s="457"/>
      <c r="F1203" s="453"/>
      <c r="G1203" s="504"/>
      <c r="H1203" s="60"/>
    </row>
    <row r="1204" spans="1:9" ht="19.899999999999999" customHeight="1">
      <c r="A1204" s="502" t="s">
        <v>20</v>
      </c>
      <c r="B1204" s="453" t="str">
        <f>Obra</f>
        <v>MEJORA DE LA RED DE RIEGO DEL VALLE DE JÁCHAL</v>
      </c>
      <c r="C1204" s="457"/>
      <c r="D1204" s="457"/>
      <c r="E1204" s="457"/>
      <c r="F1204" s="453" t="s">
        <v>31</v>
      </c>
      <c r="G1204" s="504" t="str">
        <f>Fecha_Base</f>
        <v>XX/07/2020</v>
      </c>
      <c r="H1204" s="60"/>
    </row>
    <row r="1205" spans="1:9" ht="19.899999999999999" customHeight="1">
      <c r="A1205" s="505" t="s">
        <v>709</v>
      </c>
      <c r="B1205" s="458" t="str">
        <f>Ubicación</f>
        <v>JACHAL</v>
      </c>
      <c r="C1205" s="458"/>
      <c r="D1205" s="459"/>
      <c r="E1205" s="460"/>
      <c r="F1205" s="461"/>
      <c r="G1205" s="506"/>
      <c r="H1205" s="60"/>
    </row>
    <row r="1206" spans="1:9" ht="19.899999999999999" customHeight="1">
      <c r="A1206" s="505" t="s">
        <v>32</v>
      </c>
      <c r="B1206" s="462">
        <f>IFERROR(VALUE(LEFT(B1207,FIND(".",B1207)-1)),"")</f>
        <v>5</v>
      </c>
      <c r="C1206" s="163" t="str">
        <f ca="1">IFERROR(VLOOKUP(B1206,T_Computo_Presupuesto,2,FALSE),0)</f>
        <v>CANAL MATRIZ</v>
      </c>
      <c r="D1206" s="163"/>
      <c r="E1206" s="460"/>
      <c r="F1206" s="461"/>
      <c r="G1206" s="506"/>
      <c r="H1206" s="60"/>
    </row>
    <row r="1207" spans="1:9" ht="19.899999999999999" customHeight="1">
      <c r="A1207" s="505" t="s">
        <v>21</v>
      </c>
      <c r="B1207" s="463" t="str">
        <f>IFERROR(VLOOKUP(COUNTIF($A$1:A1207,"ANALISIS DE PRECIOS"),T_NumeroItem,2,FALSE),"")</f>
        <v>5.1.2</v>
      </c>
      <c r="C1207" s="690" t="str">
        <f ca="1">IFERROR(VLOOKUP(B1207,T_Computo_Presupuesto,2,FALSE),0)</f>
        <v>Limpieza y preparación del terreno</v>
      </c>
      <c r="D1207" s="690"/>
      <c r="E1207" s="690"/>
      <c r="F1207" s="458" t="s">
        <v>22</v>
      </c>
      <c r="G1207" s="507" t="str">
        <f ca="1">IFERROR(VLOOKUP(B1207,T_Computo_Presupuesto,4,FALSE),0)</f>
        <v>m</v>
      </c>
      <c r="H1207" s="60"/>
    </row>
    <row r="1208" spans="1:9" ht="19.899999999999999" customHeight="1">
      <c r="A1208" s="505"/>
      <c r="B1208" s="458"/>
      <c r="C1208" s="163"/>
      <c r="D1208" s="459"/>
      <c r="E1208" s="460"/>
      <c r="F1208" s="163"/>
      <c r="G1208" s="508"/>
      <c r="H1208" s="60"/>
    </row>
    <row r="1209" spans="1:9" ht="19.899999999999999" customHeight="1">
      <c r="A1209" s="509"/>
      <c r="B1209" s="464"/>
      <c r="C1209" s="465" t="s">
        <v>998</v>
      </c>
      <c r="D1209" s="464"/>
      <c r="E1209" s="464"/>
      <c r="F1209" s="464"/>
      <c r="G1209" s="510"/>
      <c r="H1209" s="60"/>
    </row>
    <row r="1210" spans="1:9" ht="19.899999999999999" customHeight="1">
      <c r="A1210" s="505"/>
      <c r="B1210" s="466"/>
      <c r="C1210" s="163"/>
      <c r="D1210" s="459"/>
      <c r="E1210" s="460"/>
      <c r="F1210" s="458"/>
      <c r="G1210" s="507"/>
      <c r="H1210" s="60"/>
    </row>
    <row r="1211" spans="1:9" ht="19.899999999999999" customHeight="1">
      <c r="A1211" s="505"/>
      <c r="B1211" s="466"/>
      <c r="C1211" s="467" t="s">
        <v>999</v>
      </c>
      <c r="D1211" s="468" t="s">
        <v>23</v>
      </c>
      <c r="E1211" s="468" t="s">
        <v>1000</v>
      </c>
      <c r="F1211" s="468" t="s">
        <v>1001</v>
      </c>
      <c r="G1211" s="467" t="s">
        <v>1002</v>
      </c>
    </row>
    <row r="1212" spans="1:9" ht="19.899999999999999" customHeight="1">
      <c r="A1212" s="505"/>
      <c r="B1212" s="466"/>
      <c r="C1212" s="469"/>
      <c r="D1212" s="470"/>
      <c r="E1212" s="471">
        <f t="shared" ref="E1212:E1216" si="398">IFERROR(VLOOKUP(C1212,T_Equipos,4,FALSE),0)</f>
        <v>0</v>
      </c>
      <c r="F1212" s="472">
        <f t="shared" ref="F1212:F1216" si="399">IFERROR(VLOOKUP(C1212,T_Equipos,5,FALSE),0)</f>
        <v>0</v>
      </c>
      <c r="G1212" s="472">
        <f>ROUND(D1212*F1212,2)</f>
        <v>0</v>
      </c>
      <c r="I1212" s="452">
        <f>E1212*1.25</f>
        <v>0</v>
      </c>
    </row>
    <row r="1213" spans="1:9" ht="19.899999999999999" customHeight="1">
      <c r="A1213" s="505"/>
      <c r="B1213" s="466"/>
      <c r="C1213" s="469"/>
      <c r="D1213" s="470"/>
      <c r="E1213" s="471">
        <f t="shared" si="398"/>
        <v>0</v>
      </c>
      <c r="F1213" s="472">
        <f t="shared" si="399"/>
        <v>0</v>
      </c>
      <c r="G1213" s="472">
        <f>ROUND(D1213*F1213,2)</f>
        <v>0</v>
      </c>
      <c r="I1213" s="452">
        <f t="shared" ref="I1213:I1214" si="400">E1213*1.25</f>
        <v>0</v>
      </c>
    </row>
    <row r="1214" spans="1:9" ht="19.899999999999999" customHeight="1">
      <c r="A1214" s="505"/>
      <c r="B1214" s="466"/>
      <c r="C1214" s="469"/>
      <c r="D1214" s="470"/>
      <c r="E1214" s="471">
        <f t="shared" si="398"/>
        <v>0</v>
      </c>
      <c r="F1214" s="472">
        <f t="shared" si="399"/>
        <v>0</v>
      </c>
      <c r="G1214" s="472">
        <f>ROUND(D1214*F1214,2)</f>
        <v>0</v>
      </c>
      <c r="I1214" s="452">
        <f t="shared" si="400"/>
        <v>0</v>
      </c>
    </row>
    <row r="1215" spans="1:9" ht="19.899999999999999" customHeight="1">
      <c r="A1215" s="505"/>
      <c r="B1215" s="466"/>
      <c r="C1215" s="469"/>
      <c r="D1215" s="470"/>
      <c r="E1215" s="471">
        <f t="shared" si="398"/>
        <v>0</v>
      </c>
      <c r="F1215" s="472">
        <f t="shared" si="399"/>
        <v>0</v>
      </c>
      <c r="G1215" s="472">
        <f>ROUND(D1215*F1215,2)</f>
        <v>0</v>
      </c>
    </row>
    <row r="1216" spans="1:9" ht="19.899999999999999" customHeight="1">
      <c r="A1216" s="505"/>
      <c r="B1216" s="466"/>
      <c r="C1216" s="469"/>
      <c r="D1216" s="470"/>
      <c r="E1216" s="471">
        <f t="shared" si="398"/>
        <v>0</v>
      </c>
      <c r="F1216" s="472">
        <f t="shared" si="399"/>
        <v>0</v>
      </c>
      <c r="G1216" s="472">
        <f t="shared" ref="G1216:G1221" si="401">ROUND(D1216*F1216,2)</f>
        <v>0</v>
      </c>
    </row>
    <row r="1217" spans="1:7" ht="19.899999999999999" customHeight="1">
      <c r="A1217" s="505"/>
      <c r="B1217" s="466"/>
      <c r="C1217" s="469"/>
      <c r="D1217" s="470"/>
      <c r="E1217" s="471">
        <f t="shared" ref="E1217:E1221" si="402">IFERROR(VLOOKUP(C1217,T_Equipos,4,FALSE),0)</f>
        <v>0</v>
      </c>
      <c r="F1217" s="472">
        <f t="shared" ref="F1217:F1221" si="403">IFERROR(VLOOKUP(C1217,T_Equipos,5,FALSE),0)</f>
        <v>0</v>
      </c>
      <c r="G1217" s="472">
        <f t="shared" si="401"/>
        <v>0</v>
      </c>
    </row>
    <row r="1218" spans="1:7" ht="19.899999999999999" customHeight="1">
      <c r="A1218" s="505"/>
      <c r="B1218" s="466"/>
      <c r="C1218" s="469"/>
      <c r="D1218" s="470"/>
      <c r="E1218" s="471">
        <f t="shared" si="402"/>
        <v>0</v>
      </c>
      <c r="F1218" s="472">
        <f t="shared" si="403"/>
        <v>0</v>
      </c>
      <c r="G1218" s="472">
        <f t="shared" si="401"/>
        <v>0</v>
      </c>
    </row>
    <row r="1219" spans="1:7" ht="19.899999999999999" customHeight="1">
      <c r="A1219" s="505"/>
      <c r="B1219" s="466"/>
      <c r="C1219" s="469"/>
      <c r="D1219" s="470"/>
      <c r="E1219" s="471">
        <f t="shared" si="402"/>
        <v>0</v>
      </c>
      <c r="F1219" s="472">
        <f t="shared" si="403"/>
        <v>0</v>
      </c>
      <c r="G1219" s="472">
        <f t="shared" si="401"/>
        <v>0</v>
      </c>
    </row>
    <row r="1220" spans="1:7" ht="19.899999999999999" customHeight="1">
      <c r="A1220" s="505"/>
      <c r="B1220" s="466"/>
      <c r="C1220" s="469"/>
      <c r="D1220" s="470"/>
      <c r="E1220" s="471">
        <f t="shared" si="402"/>
        <v>0</v>
      </c>
      <c r="F1220" s="472">
        <f t="shared" si="403"/>
        <v>0</v>
      </c>
      <c r="G1220" s="472">
        <f t="shared" si="401"/>
        <v>0</v>
      </c>
    </row>
    <row r="1221" spans="1:7" ht="19.899999999999999" customHeight="1">
      <c r="A1221" s="505"/>
      <c r="B1221" s="466"/>
      <c r="C1221" s="469"/>
      <c r="D1221" s="470"/>
      <c r="E1221" s="471">
        <f t="shared" si="402"/>
        <v>0</v>
      </c>
      <c r="F1221" s="472">
        <f t="shared" si="403"/>
        <v>0</v>
      </c>
      <c r="G1221" s="472">
        <f t="shared" si="401"/>
        <v>0</v>
      </c>
    </row>
    <row r="1222" spans="1:7" ht="19.899999999999999" customHeight="1">
      <c r="A1222" s="505"/>
      <c r="B1222" s="466"/>
      <c r="C1222" s="163"/>
      <c r="D1222" s="163"/>
      <c r="E1222" s="473"/>
      <c r="F1222" s="458"/>
      <c r="G1222" s="507"/>
    </row>
    <row r="1223" spans="1:7" ht="19.899999999999999" customHeight="1">
      <c r="A1223" s="505"/>
      <c r="B1223" s="163"/>
      <c r="C1223" s="455" t="s">
        <v>1003</v>
      </c>
      <c r="D1223" s="458" t="s">
        <v>1000</v>
      </c>
      <c r="E1223" s="524">
        <f>SUMPRODUCT(D1212:D1221,E1212:E1221)</f>
        <v>0</v>
      </c>
      <c r="F1223" s="458" t="s">
        <v>1004</v>
      </c>
      <c r="G1223" s="525">
        <f>SUM(G1212:G1221)</f>
        <v>0</v>
      </c>
    </row>
    <row r="1224" spans="1:7" ht="19.899999999999999" customHeight="1">
      <c r="A1224" s="505"/>
      <c r="B1224" s="466"/>
      <c r="C1224" s="474"/>
      <c r="D1224" s="473"/>
      <c r="E1224" s="460"/>
      <c r="F1224" s="458"/>
      <c r="G1224" s="511"/>
    </row>
    <row r="1225" spans="1:7" ht="19.899999999999999" customHeight="1">
      <c r="A1225" s="512"/>
      <c r="B1225" s="466"/>
      <c r="C1225" s="458" t="s">
        <v>1005</v>
      </c>
      <c r="D1225" s="475"/>
      <c r="E1225" s="476" t="str">
        <f ca="1">G1207&amp;"/día"</f>
        <v>m/día</v>
      </c>
      <c r="F1225" s="452"/>
      <c r="G1225" s="507"/>
    </row>
    <row r="1226" spans="1:7" ht="19.899999999999999" customHeight="1">
      <c r="A1226" s="505"/>
      <c r="B1226" s="466"/>
      <c r="C1226" s="163"/>
      <c r="D1226" s="459"/>
      <c r="E1226" s="460"/>
      <c r="F1226" s="458"/>
      <c r="G1226" s="507"/>
    </row>
    <row r="1227" spans="1:7" ht="19.899999999999999" customHeight="1">
      <c r="A1227" s="677" t="s">
        <v>575</v>
      </c>
      <c r="B1227" s="678"/>
      <c r="C1227" s="679" t="s">
        <v>0</v>
      </c>
      <c r="D1227" s="691" t="s">
        <v>1864</v>
      </c>
      <c r="E1227" s="691" t="s">
        <v>1863</v>
      </c>
      <c r="F1227" s="683" t="s">
        <v>1006</v>
      </c>
      <c r="G1227" s="685" t="s">
        <v>25</v>
      </c>
    </row>
    <row r="1228" spans="1:7" ht="19.899999999999999" customHeight="1">
      <c r="A1228" s="477" t="s">
        <v>576</v>
      </c>
      <c r="B1228" s="477" t="s">
        <v>577</v>
      </c>
      <c r="C1228" s="680"/>
      <c r="D1228" s="692"/>
      <c r="E1228" s="682"/>
      <c r="F1228" s="684"/>
      <c r="G1228" s="686"/>
    </row>
    <row r="1229" spans="1:7" ht="19.899999999999999" customHeight="1">
      <c r="A1229" s="513"/>
      <c r="B1229" s="163"/>
      <c r="C1229" s="455" t="s">
        <v>1007</v>
      </c>
      <c r="D1229" s="460"/>
      <c r="E1229" s="460"/>
      <c r="F1229" s="163"/>
      <c r="G1229" s="514"/>
    </row>
    <row r="1230" spans="1:7" ht="19.899999999999999" customHeight="1">
      <c r="A1230" s="515">
        <f t="shared" ref="A1230:A1238" si="404">IFERROR(VLOOKUP(C1230,T_Insumos,4,FALSE),0)</f>
        <v>0</v>
      </c>
      <c r="B1230" s="478">
        <f t="shared" ref="B1230:B1238" si="405">IFERROR(VLOOKUP(C1230,T_Insumos,5,FALSE),0)</f>
        <v>0</v>
      </c>
      <c r="C1230" s="469"/>
      <c r="D1230" s="479">
        <f t="shared" ref="D1230:D1238" si="406">IFERROR(VLOOKUP(C1230,T_Insumos,3,FALSE),0)</f>
        <v>0</v>
      </c>
      <c r="E1230" s="472">
        <f>D1230*$G$1223</f>
        <v>0</v>
      </c>
      <c r="F1230" s="475">
        <f>IF(C1230="",0,IFERROR(VLOOKUP(COUNTIF($A$1:A1230,"ANALISIS DE PRECIOS"),T_Rendimiento_Equipo,5,FALSE),0))</f>
        <v>0</v>
      </c>
      <c r="G1230" s="472">
        <f>IFERROR(ROUND(E1230/F1230,2),0)</f>
        <v>0</v>
      </c>
    </row>
    <row r="1231" spans="1:7" ht="19.899999999999999" customHeight="1">
      <c r="A1231" s="515"/>
      <c r="B1231" s="478"/>
      <c r="C1231" s="469"/>
      <c r="D1231" s="479">
        <f t="shared" si="406"/>
        <v>0</v>
      </c>
      <c r="E1231" s="472">
        <f t="shared" ref="E1231:E1238" si="407">D1231*$G$1223</f>
        <v>0</v>
      </c>
      <c r="F1231" s="475">
        <f>IF(C1231="",0,IFERROR(VLOOKUP(COUNTIF($A$1:A1231,"ANALISIS DE PRECIOS"),T_Rendimiento_Equipo,5,FALSE),0))</f>
        <v>0</v>
      </c>
      <c r="G1231" s="472">
        <f t="shared" ref="G1231:G1238" si="408">IFERROR(ROUND(E1231/F1231,2),0)</f>
        <v>0</v>
      </c>
    </row>
    <row r="1232" spans="1:7" ht="19.899999999999999" customHeight="1">
      <c r="A1232" s="515">
        <f t="shared" si="404"/>
        <v>0</v>
      </c>
      <c r="B1232" s="478">
        <f t="shared" si="405"/>
        <v>0</v>
      </c>
      <c r="C1232" s="480"/>
      <c r="D1232" s="479">
        <f t="shared" si="406"/>
        <v>0</v>
      </c>
      <c r="E1232" s="472">
        <f t="shared" si="407"/>
        <v>0</v>
      </c>
      <c r="F1232" s="475">
        <f>IF(C1232="",0,IFERROR(VLOOKUP(COUNTIF($A$1:A1232,"ANALISIS DE PRECIOS"),T_Rendimiento_Equipo,5,FALSE),0))</f>
        <v>0</v>
      </c>
      <c r="G1232" s="472">
        <f t="shared" si="408"/>
        <v>0</v>
      </c>
    </row>
    <row r="1233" spans="1:7" ht="19.899999999999999" customHeight="1">
      <c r="A1233" s="515">
        <f t="shared" si="404"/>
        <v>0</v>
      </c>
      <c r="B1233" s="478">
        <f t="shared" si="405"/>
        <v>0</v>
      </c>
      <c r="C1233" s="480"/>
      <c r="D1233" s="479">
        <f t="shared" si="406"/>
        <v>0</v>
      </c>
      <c r="E1233" s="472">
        <f t="shared" si="407"/>
        <v>0</v>
      </c>
      <c r="F1233" s="475">
        <f>IF(C1233="",0,IFERROR(VLOOKUP(COUNTIF($A$1:A1233,"ANALISIS DE PRECIOS"),T_Rendimiento_Equipo,5,FALSE),0))</f>
        <v>0</v>
      </c>
      <c r="G1233" s="472">
        <f t="shared" si="408"/>
        <v>0</v>
      </c>
    </row>
    <row r="1234" spans="1:7" ht="19.899999999999999" customHeight="1">
      <c r="A1234" s="515">
        <f t="shared" si="404"/>
        <v>0</v>
      </c>
      <c r="B1234" s="478">
        <f t="shared" si="405"/>
        <v>0</v>
      </c>
      <c r="C1234" s="480"/>
      <c r="D1234" s="479">
        <f t="shared" ref="D1234" si="409">IFERROR(VLOOKUP(C1234,T_Insumos,3,FALSE),0)</f>
        <v>0</v>
      </c>
      <c r="E1234" s="472">
        <f t="shared" si="407"/>
        <v>0</v>
      </c>
      <c r="F1234" s="475">
        <f>IF(C1234="",0,IFERROR(VLOOKUP(COUNTIF($A$1:A1234,"ANALISIS DE PRECIOS"),T_Rendimiento_Equipo,5,FALSE),0))</f>
        <v>0</v>
      </c>
      <c r="G1234" s="472">
        <f t="shared" si="408"/>
        <v>0</v>
      </c>
    </row>
    <row r="1235" spans="1:7" ht="19.899999999999999" customHeight="1">
      <c r="A1235" s="515">
        <f t="shared" si="404"/>
        <v>0</v>
      </c>
      <c r="B1235" s="478">
        <f t="shared" si="405"/>
        <v>0</v>
      </c>
      <c r="C1235" s="480"/>
      <c r="D1235" s="479">
        <f t="shared" si="406"/>
        <v>0</v>
      </c>
      <c r="E1235" s="472">
        <f t="shared" si="407"/>
        <v>0</v>
      </c>
      <c r="F1235" s="475">
        <f>IF(C1235="",0,IFERROR(VLOOKUP(COUNTIF($A$1:A1235,"ANALISIS DE PRECIOS"),T_Rendimiento_Equipo,5,FALSE),0))</f>
        <v>0</v>
      </c>
      <c r="G1235" s="472">
        <f t="shared" si="408"/>
        <v>0</v>
      </c>
    </row>
    <row r="1236" spans="1:7" ht="19.899999999999999" customHeight="1">
      <c r="A1236" s="515">
        <f t="shared" si="404"/>
        <v>0</v>
      </c>
      <c r="B1236" s="478">
        <f t="shared" si="405"/>
        <v>0</v>
      </c>
      <c r="C1236" s="480"/>
      <c r="D1236" s="479">
        <f t="shared" si="406"/>
        <v>0</v>
      </c>
      <c r="E1236" s="472">
        <f t="shared" si="407"/>
        <v>0</v>
      </c>
      <c r="F1236" s="475">
        <f>IF(C1236="",0,IFERROR(VLOOKUP(COUNTIF($A$1:A1236,"ANALISIS DE PRECIOS"),T_Rendimiento_Equipo,5,FALSE),0))</f>
        <v>0</v>
      </c>
      <c r="G1236" s="472">
        <f t="shared" si="408"/>
        <v>0</v>
      </c>
    </row>
    <row r="1237" spans="1:7" ht="19.899999999999999" customHeight="1">
      <c r="A1237" s="515">
        <f t="shared" si="404"/>
        <v>0</v>
      </c>
      <c r="B1237" s="478">
        <f t="shared" si="405"/>
        <v>0</v>
      </c>
      <c r="C1237" s="480"/>
      <c r="D1237" s="479">
        <f t="shared" si="406"/>
        <v>0</v>
      </c>
      <c r="E1237" s="472">
        <f t="shared" si="407"/>
        <v>0</v>
      </c>
      <c r="F1237" s="475">
        <f>IF(C1237="",0,IFERROR(VLOOKUP(COUNTIF($A$1:A1237,"ANALISIS DE PRECIOS"),T_Rendimiento_Equipo,5,FALSE),0))</f>
        <v>0</v>
      </c>
      <c r="G1237" s="472">
        <f t="shared" si="408"/>
        <v>0</v>
      </c>
    </row>
    <row r="1238" spans="1:7" ht="19.899999999999999" customHeight="1">
      <c r="A1238" s="515">
        <f t="shared" si="404"/>
        <v>0</v>
      </c>
      <c r="B1238" s="478">
        <f t="shared" si="405"/>
        <v>0</v>
      </c>
      <c r="C1238" s="469"/>
      <c r="D1238" s="479">
        <f t="shared" si="406"/>
        <v>0</v>
      </c>
      <c r="E1238" s="472">
        <f t="shared" si="407"/>
        <v>0</v>
      </c>
      <c r="F1238" s="475">
        <f>IF(C1238="",0,IFERROR(VLOOKUP(COUNTIF($A$1:A1238,"ANALISIS DE PRECIOS"),T_Rendimiento_Equipo,5,FALSE),0))</f>
        <v>0</v>
      </c>
      <c r="G1238" s="472">
        <f t="shared" si="408"/>
        <v>0</v>
      </c>
    </row>
    <row r="1239" spans="1:7" ht="19.899999999999999" customHeight="1">
      <c r="A1239" s="516"/>
      <c r="B1239" s="459"/>
      <c r="C1239" s="163"/>
      <c r="D1239" s="459"/>
      <c r="E1239" s="460"/>
      <c r="F1239" s="481" t="s">
        <v>26</v>
      </c>
      <c r="G1239" s="517">
        <f>SUBTOTAL(9,G1230:G1238)</f>
        <v>0</v>
      </c>
    </row>
    <row r="1240" spans="1:7" ht="19.899999999999999" customHeight="1">
      <c r="A1240" s="513"/>
      <c r="B1240" s="163"/>
      <c r="C1240" s="455" t="s">
        <v>712</v>
      </c>
      <c r="D1240" s="459"/>
      <c r="E1240" s="460"/>
      <c r="F1240" s="461"/>
      <c r="G1240" s="514"/>
    </row>
    <row r="1241" spans="1:7" ht="19.899999999999999" customHeight="1">
      <c r="A1241" s="677" t="s">
        <v>575</v>
      </c>
      <c r="B1241" s="678"/>
      <c r="C1241" s="679" t="s">
        <v>0</v>
      </c>
      <c r="D1241" s="681" t="s">
        <v>23</v>
      </c>
      <c r="E1241" s="681" t="s">
        <v>1830</v>
      </c>
      <c r="F1241" s="683" t="s">
        <v>1006</v>
      </c>
      <c r="G1241" s="685" t="s">
        <v>25</v>
      </c>
    </row>
    <row r="1242" spans="1:7" ht="19.899999999999999" customHeight="1">
      <c r="A1242" s="477" t="s">
        <v>576</v>
      </c>
      <c r="B1242" s="477" t="s">
        <v>577</v>
      </c>
      <c r="C1242" s="680"/>
      <c r="D1242" s="682"/>
      <c r="E1242" s="682"/>
      <c r="F1242" s="684"/>
      <c r="G1242" s="686"/>
    </row>
    <row r="1243" spans="1:7" ht="19.899999999999999" customHeight="1">
      <c r="A1243" s="515">
        <f t="shared" ref="A1243:A1246" si="410">IFERROR(VLOOKUP(C1243,T_Insumos,4,FALSE),0)</f>
        <v>0</v>
      </c>
      <c r="B1243" s="478">
        <f t="shared" ref="B1243:B1246" si="411">IFERROR(VLOOKUP(C1243,T_Insumos,5,FALSE),0)</f>
        <v>0</v>
      </c>
      <c r="C1243" s="482"/>
      <c r="D1243" s="475"/>
      <c r="E1243" s="472">
        <f t="shared" ref="E1243:E1246" si="412">IFERROR(VLOOKUP(C1243,T_Insumos,3,FALSE),0)</f>
        <v>0</v>
      </c>
      <c r="F1243" s="475">
        <f>IF(C1243="",0,IFERROR(VLOOKUP(COUNTIF($A$1:A1243,"ANALISIS DE PRECIOS"),T_Rendimiento_Equipo,5,FALSE),0))</f>
        <v>0</v>
      </c>
      <c r="G1243" s="472">
        <f>IFERROR(ROUND(D1243*E1243/F1243,2),0)</f>
        <v>0</v>
      </c>
    </row>
    <row r="1244" spans="1:7" ht="19.899999999999999" customHeight="1">
      <c r="A1244" s="515">
        <f t="shared" si="410"/>
        <v>0</v>
      </c>
      <c r="B1244" s="478">
        <f t="shared" si="411"/>
        <v>0</v>
      </c>
      <c r="C1244" s="469"/>
      <c r="D1244" s="475"/>
      <c r="E1244" s="472">
        <f t="shared" si="412"/>
        <v>0</v>
      </c>
      <c r="F1244" s="475">
        <f>IF(C1244="",0,IFERROR(VLOOKUP(COUNTIF($A$1:A1244,"ANALISIS DE PRECIOS"),T_Rendimiento_Equipo,5,FALSE),0))</f>
        <v>0</v>
      </c>
      <c r="G1244" s="472">
        <f t="shared" ref="G1244:G1248" si="413">IFERROR(ROUND(D1244*E1244/F1244,2),0)</f>
        <v>0</v>
      </c>
    </row>
    <row r="1245" spans="1:7" ht="19.899999999999999" customHeight="1">
      <c r="A1245" s="515">
        <f t="shared" si="410"/>
        <v>0</v>
      </c>
      <c r="B1245" s="478">
        <f t="shared" si="411"/>
        <v>0</v>
      </c>
      <c r="C1245" s="469"/>
      <c r="D1245" s="475"/>
      <c r="E1245" s="472">
        <f t="shared" si="412"/>
        <v>0</v>
      </c>
      <c r="F1245" s="475">
        <f>IF(C1245="",0,IFERROR(VLOOKUP(COUNTIF($A$1:A1245,"ANALISIS DE PRECIOS"),T_Rendimiento_Equipo,5,FALSE),0))</f>
        <v>0</v>
      </c>
      <c r="G1245" s="472">
        <f t="shared" si="413"/>
        <v>0</v>
      </c>
    </row>
    <row r="1246" spans="1:7" ht="19.899999999999999" customHeight="1">
      <c r="A1246" s="515">
        <f t="shared" si="410"/>
        <v>0</v>
      </c>
      <c r="B1246" s="478">
        <f t="shared" si="411"/>
        <v>0</v>
      </c>
      <c r="C1246" s="469"/>
      <c r="D1246" s="475"/>
      <c r="E1246" s="472">
        <f t="shared" si="412"/>
        <v>0</v>
      </c>
      <c r="F1246" s="475">
        <f>IF(C1246="",0,IFERROR(VLOOKUP(COUNTIF($A$1:A1246,"ANALISIS DE PRECIOS"),T_Rendimiento_Equipo,5,FALSE),0))</f>
        <v>0</v>
      </c>
      <c r="G1246" s="472">
        <f t="shared" si="413"/>
        <v>0</v>
      </c>
    </row>
    <row r="1247" spans="1:7" ht="19.899999999999999" customHeight="1">
      <c r="A1247" s="515">
        <f t="shared" ref="A1247:A1249" si="414">IFERROR(VLOOKUP(C1247,T_Insumos,4,FALSE),0)</f>
        <v>0</v>
      </c>
      <c r="B1247" s="478">
        <f t="shared" ref="B1247:B1249" si="415">IFERROR(VLOOKUP(C1247,T_Insumos,5,FALSE),0)</f>
        <v>0</v>
      </c>
      <c r="C1247" s="469"/>
      <c r="D1247" s="475"/>
      <c r="E1247" s="472">
        <f t="shared" ref="E1247" si="416">IFERROR(VLOOKUP(C1247,T_Insumos,3,FALSE),0)</f>
        <v>0</v>
      </c>
      <c r="F1247" s="475">
        <f>IF(C1247="",0,IFERROR(VLOOKUP(COUNTIF($A$1:A1247,"ANALISIS DE PRECIOS"),T_Rendimiento_Equipo,5,FALSE),0))</f>
        <v>0</v>
      </c>
      <c r="G1247" s="472">
        <f t="shared" si="413"/>
        <v>0</v>
      </c>
    </row>
    <row r="1248" spans="1:7" ht="19.899999999999999" customHeight="1">
      <c r="A1248" s="515">
        <f t="shared" si="414"/>
        <v>0</v>
      </c>
      <c r="B1248" s="478">
        <f t="shared" si="415"/>
        <v>0</v>
      </c>
      <c r="C1248" s="469"/>
      <c r="D1248" s="483"/>
      <c r="E1248" s="472">
        <f>SUMPRODUCT(D1243:D1246,E1243:E1246)</f>
        <v>0</v>
      </c>
      <c r="F1248" s="475">
        <f>IF(C1248="",0,IFERROR(VLOOKUP(COUNTIF($A$1:A1248,"ANALISIS DE PRECIOS"),T_Rendimiento_Equipo,5,FALSE),0))</f>
        <v>0</v>
      </c>
      <c r="G1248" s="472">
        <f t="shared" si="413"/>
        <v>0</v>
      </c>
    </row>
    <row r="1249" spans="1:7" ht="19.899999999999999" customHeight="1">
      <c r="A1249" s="515">
        <f t="shared" si="414"/>
        <v>0</v>
      </c>
      <c r="B1249" s="478">
        <f t="shared" si="415"/>
        <v>0</v>
      </c>
      <c r="C1249" s="478"/>
      <c r="D1249" s="484"/>
      <c r="E1249" s="472"/>
      <c r="F1249" s="475">
        <f>IF(C1249="",0,IFERROR(VLOOKUP(COUNTIF($A$1:A1249,"ANALISIS DE PRECIOS"),T_Rendimiento_Equipo,5,FALSE),0))</f>
        <v>0</v>
      </c>
      <c r="G1249" s="472">
        <f t="shared" ref="G1249" si="417">IFERROR(ROUND(D1249*E1249/F1249,2),0)</f>
        <v>0</v>
      </c>
    </row>
    <row r="1250" spans="1:7" ht="19.899999999999999" customHeight="1">
      <c r="A1250" s="516"/>
      <c r="B1250" s="459"/>
      <c r="C1250" s="163"/>
      <c r="D1250" s="459"/>
      <c r="E1250" s="460"/>
      <c r="F1250" s="481" t="s">
        <v>27</v>
      </c>
      <c r="G1250" s="518">
        <f>SUBTOTAL(9,G1243:G1249)</f>
        <v>0</v>
      </c>
    </row>
    <row r="1251" spans="1:7" ht="19.899999999999999" customHeight="1">
      <c r="A1251" s="513"/>
      <c r="B1251" s="163"/>
      <c r="C1251" s="455" t="s">
        <v>1013</v>
      </c>
      <c r="D1251" s="459"/>
      <c r="E1251" s="460"/>
      <c r="F1251" s="461"/>
      <c r="G1251" s="514"/>
    </row>
    <row r="1252" spans="1:7" ht="19.899999999999999" customHeight="1">
      <c r="A1252" s="677" t="s">
        <v>575</v>
      </c>
      <c r="B1252" s="678"/>
      <c r="C1252" s="679" t="s">
        <v>0</v>
      </c>
      <c r="D1252" s="679" t="s">
        <v>1865</v>
      </c>
      <c r="E1252" s="681" t="s">
        <v>23</v>
      </c>
      <c r="F1252" s="683" t="s">
        <v>24</v>
      </c>
      <c r="G1252" s="685" t="s">
        <v>25</v>
      </c>
    </row>
    <row r="1253" spans="1:7" ht="19.899999999999999" customHeight="1">
      <c r="A1253" s="477" t="s">
        <v>576</v>
      </c>
      <c r="B1253" s="477" t="s">
        <v>577</v>
      </c>
      <c r="C1253" s="680"/>
      <c r="D1253" s="680"/>
      <c r="E1253" s="682"/>
      <c r="F1253" s="684"/>
      <c r="G1253" s="686"/>
    </row>
    <row r="1254" spans="1:7" ht="19.899999999999999" customHeight="1">
      <c r="A1254" s="515">
        <f t="shared" ref="A1254:A1264" si="418">IFERROR(VLOOKUP(C1254,T_Insumos,4,FALSE),0)</f>
        <v>0</v>
      </c>
      <c r="B1254" s="478">
        <f t="shared" ref="B1254:B1264" si="419">IFERROR(VLOOKUP(C1254,T_Insumos,5,FALSE),0)</f>
        <v>0</v>
      </c>
      <c r="C1254" s="478"/>
      <c r="D1254" s="526">
        <f t="shared" ref="D1254:D1263" si="420">IFERROR(VLOOKUP(C1254,T_Insumos,2,FALSE),0)</f>
        <v>0</v>
      </c>
      <c r="E1254" s="620"/>
      <c r="F1254" s="472">
        <f t="shared" ref="F1254:F1261" si="421">IFERROR(VLOOKUP(C1254,T_Insumos,3,FALSE),0)</f>
        <v>0</v>
      </c>
      <c r="G1254" s="472">
        <f>ROUND(E1254*F1254,2)</f>
        <v>0</v>
      </c>
    </row>
    <row r="1255" spans="1:7" s="485" customFormat="1" ht="19.899999999999999" customHeight="1">
      <c r="A1255" s="515">
        <f t="shared" si="418"/>
        <v>0</v>
      </c>
      <c r="B1255" s="478">
        <f t="shared" si="419"/>
        <v>0</v>
      </c>
      <c r="C1255" s="478"/>
      <c r="D1255" s="526">
        <f t="shared" si="420"/>
        <v>0</v>
      </c>
      <c r="E1255" s="620"/>
      <c r="F1255" s="472">
        <f t="shared" si="421"/>
        <v>0</v>
      </c>
      <c r="G1255" s="472">
        <f t="shared" ref="G1255:G1264" si="422">ROUND(E1255*F1255,2)</f>
        <v>0</v>
      </c>
    </row>
    <row r="1256" spans="1:7" ht="19.899999999999999" customHeight="1">
      <c r="A1256" s="515">
        <f t="shared" si="418"/>
        <v>0</v>
      </c>
      <c r="B1256" s="478">
        <f t="shared" si="419"/>
        <v>0</v>
      </c>
      <c r="C1256" s="478"/>
      <c r="D1256" s="526">
        <f t="shared" si="420"/>
        <v>0</v>
      </c>
      <c r="E1256" s="620"/>
      <c r="F1256" s="472">
        <f t="shared" si="421"/>
        <v>0</v>
      </c>
      <c r="G1256" s="472">
        <f t="shared" si="422"/>
        <v>0</v>
      </c>
    </row>
    <row r="1257" spans="1:7" ht="19.899999999999999" customHeight="1">
      <c r="A1257" s="515">
        <f t="shared" si="418"/>
        <v>0</v>
      </c>
      <c r="B1257" s="478">
        <f t="shared" si="419"/>
        <v>0</v>
      </c>
      <c r="C1257" s="478"/>
      <c r="D1257" s="526">
        <f t="shared" si="420"/>
        <v>0</v>
      </c>
      <c r="E1257" s="620"/>
      <c r="F1257" s="472">
        <f t="shared" si="421"/>
        <v>0</v>
      </c>
      <c r="G1257" s="472">
        <f t="shared" si="422"/>
        <v>0</v>
      </c>
    </row>
    <row r="1258" spans="1:7" ht="19.899999999999999" customHeight="1">
      <c r="A1258" s="515">
        <f t="shared" si="418"/>
        <v>0</v>
      </c>
      <c r="B1258" s="478">
        <f t="shared" si="419"/>
        <v>0</v>
      </c>
      <c r="C1258" s="478"/>
      <c r="D1258" s="526">
        <f t="shared" si="420"/>
        <v>0</v>
      </c>
      <c r="E1258" s="620"/>
      <c r="F1258" s="472">
        <f t="shared" si="421"/>
        <v>0</v>
      </c>
      <c r="G1258" s="472">
        <f t="shared" si="422"/>
        <v>0</v>
      </c>
    </row>
    <row r="1259" spans="1:7" ht="19.899999999999999" customHeight="1">
      <c r="A1259" s="515">
        <f t="shared" si="418"/>
        <v>0</v>
      </c>
      <c r="B1259" s="478">
        <f t="shared" si="419"/>
        <v>0</v>
      </c>
      <c r="C1259" s="478"/>
      <c r="D1259" s="526">
        <f t="shared" si="420"/>
        <v>0</v>
      </c>
      <c r="E1259" s="620"/>
      <c r="F1259" s="472">
        <f t="shared" si="421"/>
        <v>0</v>
      </c>
      <c r="G1259" s="472">
        <f t="shared" si="422"/>
        <v>0</v>
      </c>
    </row>
    <row r="1260" spans="1:7" ht="19.899999999999999" customHeight="1">
      <c r="A1260" s="515">
        <f t="shared" si="418"/>
        <v>0</v>
      </c>
      <c r="B1260" s="478">
        <f t="shared" si="419"/>
        <v>0</v>
      </c>
      <c r="C1260" s="478"/>
      <c r="D1260" s="526">
        <f t="shared" si="420"/>
        <v>0</v>
      </c>
      <c r="E1260" s="620"/>
      <c r="F1260" s="472">
        <f t="shared" si="421"/>
        <v>0</v>
      </c>
      <c r="G1260" s="472">
        <f t="shared" si="422"/>
        <v>0</v>
      </c>
    </row>
    <row r="1261" spans="1:7" ht="19.899999999999999" customHeight="1">
      <c r="A1261" s="515">
        <f t="shared" si="418"/>
        <v>0</v>
      </c>
      <c r="B1261" s="478">
        <f t="shared" si="419"/>
        <v>0</v>
      </c>
      <c r="C1261" s="478"/>
      <c r="D1261" s="526">
        <f t="shared" si="420"/>
        <v>0</v>
      </c>
      <c r="E1261" s="619"/>
      <c r="F1261" s="472">
        <f t="shared" si="421"/>
        <v>0</v>
      </c>
      <c r="G1261" s="472">
        <f t="shared" si="422"/>
        <v>0</v>
      </c>
    </row>
    <row r="1262" spans="1:7" ht="19.899999999999999" customHeight="1">
      <c r="A1262" s="515">
        <f t="shared" si="418"/>
        <v>0</v>
      </c>
      <c r="B1262" s="478">
        <f t="shared" si="419"/>
        <v>0</v>
      </c>
      <c r="C1262" s="478"/>
      <c r="D1262" s="526">
        <f t="shared" si="420"/>
        <v>0</v>
      </c>
      <c r="E1262" s="470"/>
      <c r="F1262" s="472">
        <f t="shared" ref="F1262:F1264" si="423">IFERROR(VLOOKUP(C1262,T_Insumos,3,FALSE),0)</f>
        <v>0</v>
      </c>
      <c r="G1262" s="472">
        <f t="shared" si="422"/>
        <v>0</v>
      </c>
    </row>
    <row r="1263" spans="1:7" ht="19.899999999999999" customHeight="1">
      <c r="A1263" s="515">
        <f t="shared" si="418"/>
        <v>0</v>
      </c>
      <c r="B1263" s="478">
        <f t="shared" si="419"/>
        <v>0</v>
      </c>
      <c r="C1263" s="478"/>
      <c r="D1263" s="526">
        <f t="shared" si="420"/>
        <v>0</v>
      </c>
      <c r="E1263" s="470"/>
      <c r="F1263" s="472">
        <f t="shared" si="423"/>
        <v>0</v>
      </c>
      <c r="G1263" s="472">
        <f t="shared" si="422"/>
        <v>0</v>
      </c>
    </row>
    <row r="1264" spans="1:7" ht="19.899999999999999" customHeight="1">
      <c r="A1264" s="515">
        <f t="shared" si="418"/>
        <v>0</v>
      </c>
      <c r="B1264" s="478">
        <f t="shared" si="419"/>
        <v>0</v>
      </c>
      <c r="C1264" s="478"/>
      <c r="D1264" s="526">
        <f t="shared" ref="D1264" si="424">IFERROR(VLOOKUP(C1264,T_Insumos,2,FALSE),0)</f>
        <v>0</v>
      </c>
      <c r="E1264" s="470"/>
      <c r="F1264" s="472">
        <f t="shared" si="423"/>
        <v>0</v>
      </c>
      <c r="G1264" s="472">
        <f t="shared" si="422"/>
        <v>0</v>
      </c>
    </row>
    <row r="1265" spans="1:8" ht="19.899999999999999" customHeight="1">
      <c r="A1265" s="513"/>
      <c r="B1265" s="163"/>
      <c r="C1265" s="163"/>
      <c r="D1265" s="459"/>
      <c r="E1265" s="460"/>
      <c r="F1265" s="481" t="s">
        <v>28</v>
      </c>
      <c r="G1265" s="518">
        <f>SUBTOTAL(9,G1254:G1264)</f>
        <v>0</v>
      </c>
    </row>
    <row r="1266" spans="1:8" ht="19.899999999999999" customHeight="1">
      <c r="A1266" s="513"/>
      <c r="B1266" s="163"/>
      <c r="C1266" s="455" t="s">
        <v>1014</v>
      </c>
      <c r="D1266" s="459"/>
      <c r="E1266" s="460"/>
      <c r="F1266" s="461"/>
      <c r="G1266" s="514"/>
    </row>
    <row r="1267" spans="1:8" ht="19.899999999999999" customHeight="1">
      <c r="A1267" s="677" t="s">
        <v>575</v>
      </c>
      <c r="B1267" s="678"/>
      <c r="C1267" s="679" t="s">
        <v>0</v>
      </c>
      <c r="D1267" s="679" t="s">
        <v>1865</v>
      </c>
      <c r="E1267" s="681" t="s">
        <v>23</v>
      </c>
      <c r="F1267" s="683" t="s">
        <v>24</v>
      </c>
      <c r="G1267" s="685" t="s">
        <v>25</v>
      </c>
    </row>
    <row r="1268" spans="1:8" ht="19.899999999999999" customHeight="1">
      <c r="A1268" s="477" t="s">
        <v>576</v>
      </c>
      <c r="B1268" s="477" t="s">
        <v>577</v>
      </c>
      <c r="C1268" s="680"/>
      <c r="D1268" s="680"/>
      <c r="E1268" s="682"/>
      <c r="F1268" s="684"/>
      <c r="G1268" s="686"/>
    </row>
    <row r="1269" spans="1:8" ht="19.899999999999999" customHeight="1">
      <c r="A1269" s="515">
        <f>IFERROR(VLOOKUP(C1269,T_Insumos,4,FALSE),0)</f>
        <v>0</v>
      </c>
      <c r="B1269" s="478">
        <f>IFERROR(VLOOKUP(C1269,T_Insumos,5,FALSE),0)</f>
        <v>0</v>
      </c>
      <c r="C1269" s="469"/>
      <c r="D1269" s="526">
        <f>IF(C1269=0,0,"$/tnkm")</f>
        <v>0</v>
      </c>
      <c r="E1269" s="470"/>
      <c r="F1269" s="472">
        <f>IFERROR(VLOOKUP(C1269,T_Insumos,3,FALSE),0)</f>
        <v>0</v>
      </c>
      <c r="G1269" s="472">
        <f>ROUND(E1269*F1269,2)</f>
        <v>0</v>
      </c>
    </row>
    <row r="1270" spans="1:8" ht="19.899999999999999" customHeight="1">
      <c r="A1270" s="515">
        <f>IFERROR(VLOOKUP(C1270,T_Insumos,4,FALSE),0)</f>
        <v>0</v>
      </c>
      <c r="B1270" s="478">
        <f>IFERROR(VLOOKUP(C1270,T_Insumos,5,FALSE),0)</f>
        <v>0</v>
      </c>
      <c r="C1270" s="469"/>
      <c r="D1270" s="526">
        <f>IF(C1270=0,0,"$/tnkm")</f>
        <v>0</v>
      </c>
      <c r="E1270" s="486"/>
      <c r="F1270" s="472">
        <f>IFERROR(VLOOKUP(C1270,T_Insumos,3,FALSE),0)</f>
        <v>0</v>
      </c>
      <c r="G1270" s="472">
        <f t="shared" ref="G1270" si="425">ROUND(E1270*F1270,2)</f>
        <v>0</v>
      </c>
    </row>
    <row r="1271" spans="1:8" ht="19.899999999999999" customHeight="1">
      <c r="A1271" s="513"/>
      <c r="B1271" s="163"/>
      <c r="C1271" s="163"/>
      <c r="D1271" s="459"/>
      <c r="E1271" s="460"/>
      <c r="F1271" s="481" t="s">
        <v>1015</v>
      </c>
      <c r="G1271" s="518">
        <f>SUBTOTAL(9,G1269:G1270)</f>
        <v>0</v>
      </c>
      <c r="H1271" s="60"/>
    </row>
    <row r="1272" spans="1:8" ht="19.899999999999999" customHeight="1">
      <c r="A1272" s="516"/>
      <c r="B1272" s="459"/>
      <c r="C1272" s="163"/>
      <c r="D1272" s="459"/>
      <c r="E1272" s="460"/>
      <c r="F1272" s="461"/>
      <c r="G1272" s="514"/>
      <c r="H1272" s="60"/>
    </row>
    <row r="1273" spans="1:8" ht="19.899999999999999" customHeight="1">
      <c r="A1273" s="574" t="str">
        <f>B1207</f>
        <v>5.1.2</v>
      </c>
      <c r="B1273" s="571" t="str">
        <f ca="1">C1207</f>
        <v>Limpieza y preparación del terreno</v>
      </c>
      <c r="C1273" s="459"/>
      <c r="D1273" s="459" t="s">
        <v>1831</v>
      </c>
      <c r="E1273" s="572"/>
      <c r="F1273" s="573" t="str">
        <f ca="1">"$/"&amp;G1207</f>
        <v>$/m</v>
      </c>
      <c r="G1273" s="523">
        <f>SUBTOTAL(9,G1230:G1272)</f>
        <v>0</v>
      </c>
      <c r="H1273" s="60"/>
    </row>
    <row r="1274" spans="1:8" ht="19.899999999999999" customHeight="1">
      <c r="A1274" s="519"/>
      <c r="B1274" s="520"/>
      <c r="C1274" s="521"/>
      <c r="D1274" s="521" t="s">
        <v>2041</v>
      </c>
      <c r="E1274" s="522"/>
      <c r="F1274" s="575" t="str">
        <f ca="1">"$/"&amp;G1207</f>
        <v>$/m</v>
      </c>
      <c r="G1274" s="523">
        <f>ROUND(G1273*Coeficiente_Paso,2)</f>
        <v>0</v>
      </c>
      <c r="H1274" s="60"/>
    </row>
    <row r="1275" spans="1:8" ht="19.899999999999999" customHeight="1">
      <c r="A1275" s="163"/>
      <c r="B1275" s="163"/>
      <c r="C1275" s="163"/>
      <c r="D1275" s="163"/>
      <c r="E1275" s="163"/>
      <c r="F1275" s="163"/>
      <c r="G1275" s="163"/>
      <c r="H1275" s="60"/>
    </row>
    <row r="1276" spans="1:8" ht="19.899999999999999" customHeight="1">
      <c r="A1276" s="687" t="s">
        <v>30</v>
      </c>
      <c r="B1276" s="688"/>
      <c r="C1276" s="688"/>
      <c r="D1276" s="688"/>
      <c r="E1276" s="688"/>
      <c r="F1276" s="688"/>
      <c r="G1276" s="689"/>
    </row>
    <row r="1277" spans="1:8" ht="19.899999999999999" customHeight="1">
      <c r="A1277" s="502" t="s">
        <v>710</v>
      </c>
      <c r="B1277" s="453" t="str">
        <f>Comitente</f>
        <v>DEPARTAMENTO DE HIDRAULICA</v>
      </c>
      <c r="C1277" s="454"/>
      <c r="D1277" s="455"/>
      <c r="E1277" s="455"/>
      <c r="F1277" s="456"/>
      <c r="G1277" s="503"/>
    </row>
    <row r="1278" spans="1:8" ht="19.899999999999999" customHeight="1">
      <c r="A1278" s="502" t="s">
        <v>711</v>
      </c>
      <c r="B1278" s="453">
        <f>Contratista</f>
        <v>0</v>
      </c>
      <c r="C1278" s="457"/>
      <c r="D1278" s="457"/>
      <c r="E1278" s="457"/>
      <c r="F1278" s="453"/>
      <c r="G1278" s="504"/>
    </row>
    <row r="1279" spans="1:8" ht="19.899999999999999" customHeight="1">
      <c r="A1279" s="502" t="s">
        <v>20</v>
      </c>
      <c r="B1279" s="453" t="str">
        <f>Obra</f>
        <v>MEJORA DE LA RED DE RIEGO DEL VALLE DE JÁCHAL</v>
      </c>
      <c r="C1279" s="457"/>
      <c r="D1279" s="457"/>
      <c r="E1279" s="457"/>
      <c r="F1279" s="453" t="s">
        <v>31</v>
      </c>
      <c r="G1279" s="504" t="str">
        <f>Fecha_Base</f>
        <v>XX/07/2020</v>
      </c>
    </row>
    <row r="1280" spans="1:8" ht="19.899999999999999" customHeight="1">
      <c r="A1280" s="505" t="s">
        <v>709</v>
      </c>
      <c r="B1280" s="458" t="str">
        <f>Ubicación</f>
        <v>JACHAL</v>
      </c>
      <c r="C1280" s="458"/>
      <c r="D1280" s="459"/>
      <c r="E1280" s="460"/>
      <c r="F1280" s="461"/>
      <c r="G1280" s="506"/>
    </row>
    <row r="1281" spans="1:7" ht="19.899999999999999" customHeight="1">
      <c r="A1281" s="505" t="s">
        <v>32</v>
      </c>
      <c r="B1281" s="462">
        <f>IFERROR(VALUE(LEFT(B1282,FIND(".",B1282)-1)),"")</f>
        <v>5</v>
      </c>
      <c r="C1281" s="163" t="str">
        <f ca="1">IFERROR(VLOOKUP(B1281,T_Computo_Presupuesto,2,FALSE),0)</f>
        <v>CANAL MATRIZ</v>
      </c>
      <c r="D1281" s="163"/>
      <c r="E1281" s="460"/>
      <c r="F1281" s="461"/>
      <c r="G1281" s="506"/>
    </row>
    <row r="1282" spans="1:7" ht="19.899999999999999" customHeight="1">
      <c r="A1282" s="505" t="s">
        <v>21</v>
      </c>
      <c r="B1282" s="463" t="str">
        <f>IFERROR(VLOOKUP(COUNTIF($A$1:A1282,"ANALISIS DE PRECIOS"),T_NumeroItem,2,FALSE),"")</f>
        <v>5.1.3</v>
      </c>
      <c r="C1282" s="690" t="str">
        <f ca="1">IFERROR(VLOOKUP(B1282,T_Computo_Presupuesto,2,FALSE),0)</f>
        <v>Excavación</v>
      </c>
      <c r="D1282" s="690"/>
      <c r="E1282" s="690"/>
      <c r="F1282" s="458" t="s">
        <v>22</v>
      </c>
      <c r="G1282" s="507" t="str">
        <f ca="1">IFERROR(VLOOKUP(B1282,T_Computo_Presupuesto,4,FALSE),0)</f>
        <v>m3</v>
      </c>
    </row>
    <row r="1283" spans="1:7" ht="19.899999999999999" customHeight="1">
      <c r="A1283" s="505"/>
      <c r="B1283" s="458"/>
      <c r="C1283" s="163"/>
      <c r="D1283" s="459"/>
      <c r="E1283" s="460"/>
      <c r="F1283" s="163"/>
      <c r="G1283" s="508"/>
    </row>
    <row r="1284" spans="1:7" ht="19.899999999999999" customHeight="1">
      <c r="A1284" s="509"/>
      <c r="B1284" s="464"/>
      <c r="C1284" s="465" t="s">
        <v>998</v>
      </c>
      <c r="D1284" s="464"/>
      <c r="E1284" s="464"/>
      <c r="F1284" s="464"/>
      <c r="G1284" s="510"/>
    </row>
    <row r="1285" spans="1:7" ht="19.899999999999999" customHeight="1">
      <c r="A1285" s="505"/>
      <c r="B1285" s="466"/>
      <c r="C1285" s="163"/>
      <c r="D1285" s="459"/>
      <c r="E1285" s="460"/>
      <c r="F1285" s="458"/>
      <c r="G1285" s="507"/>
    </row>
    <row r="1286" spans="1:7" ht="19.899999999999999" customHeight="1">
      <c r="A1286" s="505"/>
      <c r="B1286" s="466"/>
      <c r="C1286" s="467" t="s">
        <v>999</v>
      </c>
      <c r="D1286" s="468" t="s">
        <v>23</v>
      </c>
      <c r="E1286" s="468" t="s">
        <v>1000</v>
      </c>
      <c r="F1286" s="468" t="s">
        <v>1001</v>
      </c>
      <c r="G1286" s="467" t="s">
        <v>1002</v>
      </c>
    </row>
    <row r="1287" spans="1:7" ht="19.899999999999999" customHeight="1">
      <c r="A1287" s="505"/>
      <c r="B1287" s="466"/>
      <c r="C1287" s="469"/>
      <c r="D1287" s="470"/>
      <c r="E1287" s="471">
        <f t="shared" ref="E1287:E1295" si="426">IFERROR(VLOOKUP(C1287,T_Equipos,4,FALSE),0)</f>
        <v>0</v>
      </c>
      <c r="F1287" s="472">
        <f t="shared" ref="F1287:F1295" si="427">IFERROR(VLOOKUP(C1287,T_Equipos,5,FALSE),0)</f>
        <v>0</v>
      </c>
      <c r="G1287" s="472">
        <f>ROUND(D1287*F1287,2)</f>
        <v>0</v>
      </c>
    </row>
    <row r="1288" spans="1:7" ht="19.899999999999999" customHeight="1">
      <c r="A1288" s="505"/>
      <c r="B1288" s="466"/>
      <c r="C1288" s="469"/>
      <c r="D1288" s="470"/>
      <c r="E1288" s="471">
        <f t="shared" si="426"/>
        <v>0</v>
      </c>
      <c r="F1288" s="472">
        <f t="shared" si="427"/>
        <v>0</v>
      </c>
      <c r="G1288" s="472">
        <f>ROUND(D1288*F1288,2)</f>
        <v>0</v>
      </c>
    </row>
    <row r="1289" spans="1:7" ht="19.899999999999999" customHeight="1">
      <c r="A1289" s="505"/>
      <c r="B1289" s="466"/>
      <c r="C1289" s="469"/>
      <c r="D1289" s="470"/>
      <c r="E1289" s="471">
        <f t="shared" si="426"/>
        <v>0</v>
      </c>
      <c r="F1289" s="472">
        <f t="shared" si="427"/>
        <v>0</v>
      </c>
      <c r="G1289" s="472">
        <f>ROUND(D1289*F1289,2)</f>
        <v>0</v>
      </c>
    </row>
    <row r="1290" spans="1:7" ht="19.899999999999999" customHeight="1">
      <c r="A1290" s="505"/>
      <c r="B1290" s="466"/>
      <c r="C1290" s="469"/>
      <c r="D1290" s="470"/>
      <c r="E1290" s="471">
        <f t="shared" si="426"/>
        <v>0</v>
      </c>
      <c r="F1290" s="472">
        <f t="shared" si="427"/>
        <v>0</v>
      </c>
      <c r="G1290" s="472">
        <f>ROUND(D1290*F1290,2)</f>
        <v>0</v>
      </c>
    </row>
    <row r="1291" spans="1:7" ht="19.899999999999999" customHeight="1">
      <c r="A1291" s="505"/>
      <c r="B1291" s="466"/>
      <c r="C1291" s="469"/>
      <c r="D1291" s="470"/>
      <c r="E1291" s="471">
        <f t="shared" si="426"/>
        <v>0</v>
      </c>
      <c r="F1291" s="472">
        <f t="shared" si="427"/>
        <v>0</v>
      </c>
      <c r="G1291" s="472">
        <f t="shared" ref="G1291:G1296" si="428">ROUND(D1291*F1291,2)</f>
        <v>0</v>
      </c>
    </row>
    <row r="1292" spans="1:7" ht="19.899999999999999" customHeight="1">
      <c r="A1292" s="505"/>
      <c r="B1292" s="466"/>
      <c r="C1292" s="469"/>
      <c r="D1292" s="470"/>
      <c r="E1292" s="471">
        <f t="shared" si="426"/>
        <v>0</v>
      </c>
      <c r="F1292" s="472">
        <f t="shared" si="427"/>
        <v>0</v>
      </c>
      <c r="G1292" s="472">
        <f t="shared" si="428"/>
        <v>0</v>
      </c>
    </row>
    <row r="1293" spans="1:7" ht="19.899999999999999" customHeight="1">
      <c r="A1293" s="505"/>
      <c r="B1293" s="466"/>
      <c r="C1293" s="469"/>
      <c r="D1293" s="470"/>
      <c r="E1293" s="471">
        <f t="shared" si="426"/>
        <v>0</v>
      </c>
      <c r="F1293" s="472">
        <f t="shared" si="427"/>
        <v>0</v>
      </c>
      <c r="G1293" s="472">
        <f t="shared" si="428"/>
        <v>0</v>
      </c>
    </row>
    <row r="1294" spans="1:7" ht="19.899999999999999" customHeight="1">
      <c r="A1294" s="505"/>
      <c r="B1294" s="466"/>
      <c r="C1294" s="469"/>
      <c r="D1294" s="470"/>
      <c r="E1294" s="471">
        <f t="shared" si="426"/>
        <v>0</v>
      </c>
      <c r="F1294" s="472">
        <f t="shared" si="427"/>
        <v>0</v>
      </c>
      <c r="G1294" s="472">
        <f t="shared" si="428"/>
        <v>0</v>
      </c>
    </row>
    <row r="1295" spans="1:7" ht="19.899999999999999" customHeight="1">
      <c r="A1295" s="505"/>
      <c r="B1295" s="466"/>
      <c r="C1295" s="469"/>
      <c r="D1295" s="470"/>
      <c r="E1295" s="471">
        <f t="shared" si="426"/>
        <v>0</v>
      </c>
      <c r="F1295" s="472">
        <f t="shared" si="427"/>
        <v>0</v>
      </c>
      <c r="G1295" s="472">
        <f t="shared" si="428"/>
        <v>0</v>
      </c>
    </row>
    <row r="1296" spans="1:7" ht="19.899999999999999" customHeight="1">
      <c r="A1296" s="505"/>
      <c r="B1296" s="466"/>
      <c r="C1296" s="469"/>
      <c r="D1296" s="470"/>
      <c r="E1296" s="471">
        <f t="shared" ref="E1296" si="429">IFERROR(VLOOKUP(C1296,T_Equipos,4,FALSE),0)</f>
        <v>0</v>
      </c>
      <c r="F1296" s="472">
        <f t="shared" ref="F1296" si="430">IFERROR(VLOOKUP(C1296,T_Equipos,5,FALSE),0)</f>
        <v>0</v>
      </c>
      <c r="G1296" s="472">
        <f t="shared" si="428"/>
        <v>0</v>
      </c>
    </row>
    <row r="1297" spans="1:7" ht="19.899999999999999" customHeight="1">
      <c r="A1297" s="505"/>
      <c r="B1297" s="466"/>
      <c r="C1297" s="163"/>
      <c r="D1297" s="163"/>
      <c r="E1297" s="473"/>
      <c r="F1297" s="458"/>
      <c r="G1297" s="507"/>
    </row>
    <row r="1298" spans="1:7" ht="19.899999999999999" customHeight="1">
      <c r="A1298" s="505"/>
      <c r="B1298" s="163"/>
      <c r="C1298" s="455" t="s">
        <v>1003</v>
      </c>
      <c r="D1298" s="458" t="s">
        <v>1000</v>
      </c>
      <c r="E1298" s="524">
        <f>SUMPRODUCT(D1287:D1296,E1287:E1296)</f>
        <v>0</v>
      </c>
      <c r="F1298" s="458" t="s">
        <v>1004</v>
      </c>
      <c r="G1298" s="525">
        <f>SUM(G1287:G1296)</f>
        <v>0</v>
      </c>
    </row>
    <row r="1299" spans="1:7" ht="19.899999999999999" customHeight="1">
      <c r="A1299" s="505"/>
      <c r="B1299" s="466"/>
      <c r="C1299" s="474"/>
      <c r="D1299" s="473"/>
      <c r="E1299" s="460"/>
      <c r="F1299" s="458"/>
      <c r="G1299" s="511"/>
    </row>
    <row r="1300" spans="1:7" ht="19.899999999999999" customHeight="1">
      <c r="A1300" s="512"/>
      <c r="B1300" s="466"/>
      <c r="C1300" s="458" t="s">
        <v>1005</v>
      </c>
      <c r="D1300" s="475"/>
      <c r="E1300" s="476" t="str">
        <f ca="1">G1282&amp;"/día"</f>
        <v>m3/día</v>
      </c>
      <c r="F1300" s="452"/>
      <c r="G1300" s="507"/>
    </row>
    <row r="1301" spans="1:7" ht="19.899999999999999" customHeight="1">
      <c r="A1301" s="505"/>
      <c r="B1301" s="466"/>
      <c r="C1301" s="163"/>
      <c r="D1301" s="459"/>
      <c r="E1301" s="460"/>
      <c r="F1301" s="458"/>
      <c r="G1301" s="507"/>
    </row>
    <row r="1302" spans="1:7" ht="19.899999999999999" customHeight="1">
      <c r="A1302" s="677" t="s">
        <v>575</v>
      </c>
      <c r="B1302" s="678"/>
      <c r="C1302" s="679" t="s">
        <v>0</v>
      </c>
      <c r="D1302" s="691" t="s">
        <v>1864</v>
      </c>
      <c r="E1302" s="691" t="s">
        <v>1863</v>
      </c>
      <c r="F1302" s="683" t="s">
        <v>1006</v>
      </c>
      <c r="G1302" s="685" t="s">
        <v>25</v>
      </c>
    </row>
    <row r="1303" spans="1:7" ht="19.899999999999999" customHeight="1">
      <c r="A1303" s="477" t="s">
        <v>576</v>
      </c>
      <c r="B1303" s="477" t="s">
        <v>577</v>
      </c>
      <c r="C1303" s="680"/>
      <c r="D1303" s="692"/>
      <c r="E1303" s="682"/>
      <c r="F1303" s="684"/>
      <c r="G1303" s="686"/>
    </row>
    <row r="1304" spans="1:7" ht="19.899999999999999" customHeight="1">
      <c r="A1304" s="513"/>
      <c r="B1304" s="163"/>
      <c r="C1304" s="455" t="s">
        <v>1007</v>
      </c>
      <c r="D1304" s="460"/>
      <c r="E1304" s="460"/>
      <c r="F1304" s="163"/>
      <c r="G1304" s="514"/>
    </row>
    <row r="1305" spans="1:7" ht="19.899999999999999" customHeight="1">
      <c r="A1305" s="515">
        <f t="shared" ref="A1305" si="431">IFERROR(VLOOKUP(C1305,T_Insumos,4,FALSE),0)</f>
        <v>0</v>
      </c>
      <c r="B1305" s="478">
        <f t="shared" ref="B1305" si="432">IFERROR(VLOOKUP(C1305,T_Insumos,5,FALSE),0)</f>
        <v>0</v>
      </c>
      <c r="C1305" s="469"/>
      <c r="D1305" s="479">
        <f t="shared" ref="D1305:D1312" si="433">IFERROR(VLOOKUP(C1305,T_Insumos,3,FALSE),0)</f>
        <v>0</v>
      </c>
      <c r="E1305" s="472">
        <f>D1305*$G$1298</f>
        <v>0</v>
      </c>
      <c r="F1305" s="475">
        <f>IF(C1305="",0,IFERROR(VLOOKUP(COUNTIF($A$1:A1305,"ANALISIS DE PRECIOS"),T_Rendimiento_Equipo,5,FALSE),0))</f>
        <v>0</v>
      </c>
      <c r="G1305" s="472">
        <f>IFERROR(ROUND(E1305/F1305,2),0)</f>
        <v>0</v>
      </c>
    </row>
    <row r="1306" spans="1:7" ht="19.899999999999999" customHeight="1">
      <c r="A1306" s="515">
        <f t="shared" ref="A1306:A1313" si="434">IFERROR(VLOOKUP(C1306,T_Insumos,4,FALSE),0)</f>
        <v>0</v>
      </c>
      <c r="B1306" s="478">
        <f t="shared" ref="B1306:B1313" si="435">IFERROR(VLOOKUP(C1306,T_Insumos,5,FALSE),0)</f>
        <v>0</v>
      </c>
      <c r="C1306" s="469"/>
      <c r="D1306" s="479">
        <f t="shared" si="433"/>
        <v>0</v>
      </c>
      <c r="E1306" s="472">
        <f t="shared" ref="E1306:E1313" si="436">D1306*$G$1298</f>
        <v>0</v>
      </c>
      <c r="F1306" s="475">
        <f>IF(C1306="",0,IFERROR(VLOOKUP(COUNTIF($A$1:A1306,"ANALISIS DE PRECIOS"),T_Rendimiento_Equipo,5,FALSE),0))</f>
        <v>0</v>
      </c>
      <c r="G1306" s="472">
        <f t="shared" ref="G1306:G1313" si="437">IFERROR(ROUND(E1306/F1306,2),0)</f>
        <v>0</v>
      </c>
    </row>
    <row r="1307" spans="1:7" ht="19.899999999999999" customHeight="1">
      <c r="A1307" s="515">
        <f t="shared" si="434"/>
        <v>0</v>
      </c>
      <c r="B1307" s="478">
        <f t="shared" si="435"/>
        <v>0</v>
      </c>
      <c r="C1307" s="480"/>
      <c r="D1307" s="479">
        <f t="shared" si="433"/>
        <v>0</v>
      </c>
      <c r="E1307" s="472">
        <f t="shared" si="436"/>
        <v>0</v>
      </c>
      <c r="F1307" s="475">
        <f>IF(C1307="",0,IFERROR(VLOOKUP(COUNTIF($A$1:A1307,"ANALISIS DE PRECIOS"),T_Rendimiento_Equipo,5,FALSE),0))</f>
        <v>0</v>
      </c>
      <c r="G1307" s="472">
        <f t="shared" si="437"/>
        <v>0</v>
      </c>
    </row>
    <row r="1308" spans="1:7" ht="19.899999999999999" customHeight="1">
      <c r="A1308" s="515">
        <f t="shared" si="434"/>
        <v>0</v>
      </c>
      <c r="B1308" s="478">
        <f t="shared" si="435"/>
        <v>0</v>
      </c>
      <c r="C1308" s="480"/>
      <c r="D1308" s="479">
        <f t="shared" si="433"/>
        <v>0</v>
      </c>
      <c r="E1308" s="472">
        <f t="shared" si="436"/>
        <v>0</v>
      </c>
      <c r="F1308" s="475">
        <f>IF(C1308="",0,IFERROR(VLOOKUP(COUNTIF($A$1:A1308,"ANALISIS DE PRECIOS"),T_Rendimiento_Equipo,5,FALSE),0))</f>
        <v>0</v>
      </c>
      <c r="G1308" s="472">
        <f t="shared" si="437"/>
        <v>0</v>
      </c>
    </row>
    <row r="1309" spans="1:7" ht="19.899999999999999" customHeight="1">
      <c r="A1309" s="515">
        <f t="shared" si="434"/>
        <v>0</v>
      </c>
      <c r="B1309" s="478">
        <f t="shared" si="435"/>
        <v>0</v>
      </c>
      <c r="C1309" s="480"/>
      <c r="D1309" s="479">
        <f t="shared" si="433"/>
        <v>0</v>
      </c>
      <c r="E1309" s="472">
        <f t="shared" si="436"/>
        <v>0</v>
      </c>
      <c r="F1309" s="475">
        <f>IF(C1309="",0,IFERROR(VLOOKUP(COUNTIF($A$1:A1309,"ANALISIS DE PRECIOS"),T_Rendimiento_Equipo,5,FALSE),0))</f>
        <v>0</v>
      </c>
      <c r="G1309" s="472">
        <f t="shared" si="437"/>
        <v>0</v>
      </c>
    </row>
    <row r="1310" spans="1:7" ht="19.899999999999999" customHeight="1">
      <c r="A1310" s="515">
        <f t="shared" si="434"/>
        <v>0</v>
      </c>
      <c r="B1310" s="478">
        <f t="shared" si="435"/>
        <v>0</v>
      </c>
      <c r="C1310" s="480"/>
      <c r="D1310" s="479">
        <f t="shared" si="433"/>
        <v>0</v>
      </c>
      <c r="E1310" s="472">
        <f t="shared" si="436"/>
        <v>0</v>
      </c>
      <c r="F1310" s="475">
        <f>IF(C1310="",0,IFERROR(VLOOKUP(COUNTIF($A$1:A1310,"ANALISIS DE PRECIOS"),T_Rendimiento_Equipo,5,FALSE),0))</f>
        <v>0</v>
      </c>
      <c r="G1310" s="472">
        <f t="shared" si="437"/>
        <v>0</v>
      </c>
    </row>
    <row r="1311" spans="1:7" ht="19.899999999999999" customHeight="1">
      <c r="A1311" s="515">
        <f t="shared" si="434"/>
        <v>0</v>
      </c>
      <c r="B1311" s="478">
        <f t="shared" si="435"/>
        <v>0</v>
      </c>
      <c r="C1311" s="480"/>
      <c r="D1311" s="479">
        <f t="shared" si="433"/>
        <v>0</v>
      </c>
      <c r="E1311" s="472">
        <f t="shared" si="436"/>
        <v>0</v>
      </c>
      <c r="F1311" s="475">
        <f>IF(C1311="",0,IFERROR(VLOOKUP(COUNTIF($A$1:A1311,"ANALISIS DE PRECIOS"),T_Rendimiento_Equipo,5,FALSE),0))</f>
        <v>0</v>
      </c>
      <c r="G1311" s="472">
        <f t="shared" si="437"/>
        <v>0</v>
      </c>
    </row>
    <row r="1312" spans="1:7" ht="19.899999999999999" customHeight="1">
      <c r="A1312" s="515">
        <f t="shared" si="434"/>
        <v>0</v>
      </c>
      <c r="B1312" s="478">
        <f t="shared" si="435"/>
        <v>0</v>
      </c>
      <c r="C1312" s="480"/>
      <c r="D1312" s="479">
        <f t="shared" si="433"/>
        <v>0</v>
      </c>
      <c r="E1312" s="472">
        <f t="shared" si="436"/>
        <v>0</v>
      </c>
      <c r="F1312" s="475">
        <f>IF(C1312="",0,IFERROR(VLOOKUP(COUNTIF($A$1:A1312,"ANALISIS DE PRECIOS"),T_Rendimiento_Equipo,5,FALSE),0))</f>
        <v>0</v>
      </c>
      <c r="G1312" s="472">
        <f t="shared" si="437"/>
        <v>0</v>
      </c>
    </row>
    <row r="1313" spans="1:7" ht="19.899999999999999" customHeight="1">
      <c r="A1313" s="515">
        <f t="shared" si="434"/>
        <v>0</v>
      </c>
      <c r="B1313" s="478">
        <f t="shared" si="435"/>
        <v>0</v>
      </c>
      <c r="C1313" s="469"/>
      <c r="D1313" s="479">
        <f t="shared" ref="D1313" si="438">IFERROR(VLOOKUP(C1313,T_Insumos,3,FALSE),0)</f>
        <v>0</v>
      </c>
      <c r="E1313" s="472">
        <f t="shared" si="436"/>
        <v>0</v>
      </c>
      <c r="F1313" s="475">
        <f>IF(C1313="",0,IFERROR(VLOOKUP(COUNTIF($A$1:A1313,"ANALISIS DE PRECIOS"),T_Rendimiento_Equipo,5,FALSE),0))</f>
        <v>0</v>
      </c>
      <c r="G1313" s="472">
        <f t="shared" si="437"/>
        <v>0</v>
      </c>
    </row>
    <row r="1314" spans="1:7" ht="19.899999999999999" customHeight="1">
      <c r="A1314" s="516"/>
      <c r="B1314" s="459"/>
      <c r="C1314" s="163"/>
      <c r="D1314" s="459"/>
      <c r="E1314" s="460"/>
      <c r="F1314" s="481" t="s">
        <v>26</v>
      </c>
      <c r="G1314" s="517">
        <f>SUBTOTAL(9,G1305:G1313)</f>
        <v>0</v>
      </c>
    </row>
    <row r="1315" spans="1:7" ht="19.899999999999999" customHeight="1">
      <c r="A1315" s="513"/>
      <c r="B1315" s="163"/>
      <c r="C1315" s="455" t="s">
        <v>712</v>
      </c>
      <c r="D1315" s="459"/>
      <c r="E1315" s="460"/>
      <c r="F1315" s="461"/>
      <c r="G1315" s="514"/>
    </row>
    <row r="1316" spans="1:7" ht="19.899999999999999" customHeight="1">
      <c r="A1316" s="677" t="s">
        <v>575</v>
      </c>
      <c r="B1316" s="678"/>
      <c r="C1316" s="679" t="s">
        <v>0</v>
      </c>
      <c r="D1316" s="681" t="s">
        <v>23</v>
      </c>
      <c r="E1316" s="681" t="s">
        <v>1830</v>
      </c>
      <c r="F1316" s="683" t="s">
        <v>1006</v>
      </c>
      <c r="G1316" s="685" t="s">
        <v>25</v>
      </c>
    </row>
    <row r="1317" spans="1:7" ht="19.899999999999999" customHeight="1">
      <c r="A1317" s="477" t="s">
        <v>576</v>
      </c>
      <c r="B1317" s="477" t="s">
        <v>577</v>
      </c>
      <c r="C1317" s="680"/>
      <c r="D1317" s="682"/>
      <c r="E1317" s="682"/>
      <c r="F1317" s="684"/>
      <c r="G1317" s="686"/>
    </row>
    <row r="1318" spans="1:7" ht="19.899999999999999" customHeight="1">
      <c r="A1318" s="515"/>
      <c r="B1318" s="478"/>
      <c r="C1318" s="482"/>
      <c r="D1318" s="475"/>
      <c r="E1318" s="472">
        <f t="shared" ref="E1318:E1323" si="439">IFERROR(VLOOKUP(C1318,T_Insumos,3,FALSE),0)</f>
        <v>0</v>
      </c>
      <c r="F1318" s="475">
        <f>+$D$1300</f>
        <v>0</v>
      </c>
      <c r="G1318" s="472">
        <f>IFERROR(ROUND(D1318*E1318/F1318,2),0)</f>
        <v>0</v>
      </c>
    </row>
    <row r="1319" spans="1:7" ht="19.899999999999999" customHeight="1">
      <c r="A1319" s="515"/>
      <c r="B1319" s="478"/>
      <c r="C1319" s="469"/>
      <c r="D1319" s="475"/>
      <c r="E1319" s="472">
        <f t="shared" si="439"/>
        <v>0</v>
      </c>
      <c r="F1319" s="475">
        <f t="shared" ref="F1319:F1321" si="440">+$D$1300</f>
        <v>0</v>
      </c>
      <c r="G1319" s="472">
        <f t="shared" ref="G1319:G1324" si="441">IFERROR(ROUND(D1319*E1319/F1319,2),0)</f>
        <v>0</v>
      </c>
    </row>
    <row r="1320" spans="1:7" ht="19.899999999999999" customHeight="1">
      <c r="A1320" s="515"/>
      <c r="B1320" s="478"/>
      <c r="C1320" s="469"/>
      <c r="D1320" s="475"/>
      <c r="E1320" s="472">
        <f t="shared" si="439"/>
        <v>0</v>
      </c>
      <c r="F1320" s="475">
        <f t="shared" si="440"/>
        <v>0</v>
      </c>
      <c r="G1320" s="472">
        <f t="shared" si="441"/>
        <v>0</v>
      </c>
    </row>
    <row r="1321" spans="1:7" ht="19.899999999999999" customHeight="1">
      <c r="A1321" s="515"/>
      <c r="B1321" s="478"/>
      <c r="C1321" s="469"/>
      <c r="D1321" s="475"/>
      <c r="E1321" s="472">
        <f t="shared" si="439"/>
        <v>0</v>
      </c>
      <c r="F1321" s="475">
        <f t="shared" si="440"/>
        <v>0</v>
      </c>
      <c r="G1321" s="472">
        <f t="shared" si="441"/>
        <v>0</v>
      </c>
    </row>
    <row r="1322" spans="1:7" ht="19.899999999999999" customHeight="1">
      <c r="A1322" s="515">
        <f t="shared" ref="A1322:A1324" si="442">IFERROR(VLOOKUP(C1322,T_Insumos,4,FALSE),0)</f>
        <v>0</v>
      </c>
      <c r="B1322" s="478">
        <f t="shared" ref="B1322:B1324" si="443">IFERROR(VLOOKUP(C1322,T_Insumos,5,FALSE),0)</f>
        <v>0</v>
      </c>
      <c r="C1322" s="469"/>
      <c r="D1322" s="475"/>
      <c r="E1322" s="472">
        <f t="shared" si="439"/>
        <v>0</v>
      </c>
      <c r="F1322" s="475">
        <f>IF(C1322="",0,IFERROR(VLOOKUP(COUNTIF($A$1:A1322,"ANALISIS DE PRECIOS"),T_Rendimiento_Equipo,5,FALSE),0))</f>
        <v>0</v>
      </c>
      <c r="G1322" s="472">
        <f t="shared" si="441"/>
        <v>0</v>
      </c>
    </row>
    <row r="1323" spans="1:7" ht="19.899999999999999" customHeight="1">
      <c r="A1323" s="515">
        <f t="shared" si="442"/>
        <v>0</v>
      </c>
      <c r="B1323" s="478">
        <f t="shared" si="443"/>
        <v>0</v>
      </c>
      <c r="C1323" s="469"/>
      <c r="D1323" s="483"/>
      <c r="E1323" s="472">
        <f t="shared" si="439"/>
        <v>0</v>
      </c>
      <c r="F1323" s="475">
        <f>+$D$1300</f>
        <v>0</v>
      </c>
      <c r="G1323" s="472">
        <f t="shared" si="441"/>
        <v>0</v>
      </c>
    </row>
    <row r="1324" spans="1:7" ht="19.899999999999999" customHeight="1">
      <c r="A1324" s="515">
        <f t="shared" si="442"/>
        <v>0</v>
      </c>
      <c r="B1324" s="478">
        <f t="shared" si="443"/>
        <v>0</v>
      </c>
      <c r="C1324" s="478"/>
      <c r="D1324" s="484"/>
      <c r="E1324" s="472">
        <f t="shared" ref="E1324" si="444">IFERROR(VLOOKUP(C1324,T_Insumos,3,FALSE),0)</f>
        <v>0</v>
      </c>
      <c r="F1324" s="475">
        <f>IF(C1324="",0,IFERROR(VLOOKUP(COUNTIF($A$1:A1324,"ANALISIS DE PRECIOS"),T_Rendimiento_Equipo,5,FALSE),0))</f>
        <v>0</v>
      </c>
      <c r="G1324" s="472">
        <f t="shared" si="441"/>
        <v>0</v>
      </c>
    </row>
    <row r="1325" spans="1:7" ht="19.899999999999999" customHeight="1">
      <c r="A1325" s="516"/>
      <c r="B1325" s="459"/>
      <c r="C1325" s="163"/>
      <c r="D1325" s="459"/>
      <c r="E1325" s="460"/>
      <c r="F1325" s="481" t="s">
        <v>27</v>
      </c>
      <c r="G1325" s="518">
        <f>SUBTOTAL(9,G1318:G1324)</f>
        <v>0</v>
      </c>
    </row>
    <row r="1326" spans="1:7" ht="19.899999999999999" customHeight="1">
      <c r="A1326" s="513"/>
      <c r="B1326" s="163"/>
      <c r="C1326" s="455" t="s">
        <v>1013</v>
      </c>
      <c r="D1326" s="459"/>
      <c r="E1326" s="460"/>
      <c r="F1326" s="461"/>
      <c r="G1326" s="514"/>
    </row>
    <row r="1327" spans="1:7" ht="19.899999999999999" customHeight="1">
      <c r="A1327" s="677" t="s">
        <v>575</v>
      </c>
      <c r="B1327" s="678"/>
      <c r="C1327" s="679" t="s">
        <v>0</v>
      </c>
      <c r="D1327" s="679" t="s">
        <v>1865</v>
      </c>
      <c r="E1327" s="681" t="s">
        <v>23</v>
      </c>
      <c r="F1327" s="683" t="s">
        <v>24</v>
      </c>
      <c r="G1327" s="685" t="s">
        <v>25</v>
      </c>
    </row>
    <row r="1328" spans="1:7" ht="19.899999999999999" customHeight="1">
      <c r="A1328" s="477" t="s">
        <v>576</v>
      </c>
      <c r="B1328" s="477" t="s">
        <v>577</v>
      </c>
      <c r="C1328" s="680"/>
      <c r="D1328" s="680"/>
      <c r="E1328" s="682"/>
      <c r="F1328" s="684"/>
      <c r="G1328" s="686"/>
    </row>
    <row r="1329" spans="1:7" ht="19.899999999999999" customHeight="1">
      <c r="A1329" s="515">
        <f t="shared" ref="A1329:A1339" si="445">IFERROR(VLOOKUP(C1329,T_Insumos,4,FALSE),0)</f>
        <v>0</v>
      </c>
      <c r="B1329" s="478">
        <f t="shared" ref="B1329:B1339" si="446">IFERROR(VLOOKUP(C1329,T_Insumos,5,FALSE),0)</f>
        <v>0</v>
      </c>
      <c r="C1329" s="478"/>
      <c r="D1329" s="526">
        <f t="shared" ref="D1329:D1338" si="447">IFERROR(VLOOKUP(C1329,T_Insumos,2,FALSE),0)</f>
        <v>0</v>
      </c>
      <c r="E1329" s="622"/>
      <c r="F1329" s="472">
        <f t="shared" ref="F1329:F1338" si="448">IFERROR(VLOOKUP(C1329,T_Insumos,3,FALSE),0)</f>
        <v>0</v>
      </c>
      <c r="G1329" s="472">
        <f>ROUND(E1329*F1329,2)</f>
        <v>0</v>
      </c>
    </row>
    <row r="1330" spans="1:7" ht="19.899999999999999" customHeight="1">
      <c r="A1330" s="515">
        <f t="shared" si="445"/>
        <v>0</v>
      </c>
      <c r="B1330" s="478">
        <f t="shared" si="446"/>
        <v>0</v>
      </c>
      <c r="C1330" s="478"/>
      <c r="D1330" s="526">
        <f t="shared" si="447"/>
        <v>0</v>
      </c>
      <c r="E1330" s="622"/>
      <c r="F1330" s="472">
        <f t="shared" si="448"/>
        <v>0</v>
      </c>
      <c r="G1330" s="472">
        <f t="shared" ref="G1330:G1339" si="449">ROUND(E1330*F1330,2)</f>
        <v>0</v>
      </c>
    </row>
    <row r="1331" spans="1:7" ht="19.899999999999999" customHeight="1">
      <c r="A1331" s="515">
        <f t="shared" si="445"/>
        <v>0</v>
      </c>
      <c r="B1331" s="478">
        <f t="shared" si="446"/>
        <v>0</v>
      </c>
      <c r="C1331" s="478"/>
      <c r="D1331" s="526">
        <f t="shared" si="447"/>
        <v>0</v>
      </c>
      <c r="E1331" s="622"/>
      <c r="F1331" s="472">
        <f t="shared" si="448"/>
        <v>0</v>
      </c>
      <c r="G1331" s="472">
        <f t="shared" si="449"/>
        <v>0</v>
      </c>
    </row>
    <row r="1332" spans="1:7" ht="19.899999999999999" customHeight="1">
      <c r="A1332" s="515">
        <f t="shared" si="445"/>
        <v>0</v>
      </c>
      <c r="B1332" s="478">
        <f t="shared" si="446"/>
        <v>0</v>
      </c>
      <c r="C1332" s="478"/>
      <c r="D1332" s="526">
        <f t="shared" si="447"/>
        <v>0</v>
      </c>
      <c r="E1332" s="622"/>
      <c r="F1332" s="472">
        <f t="shared" si="448"/>
        <v>0</v>
      </c>
      <c r="G1332" s="472">
        <f t="shared" si="449"/>
        <v>0</v>
      </c>
    </row>
    <row r="1333" spans="1:7" ht="19.899999999999999" customHeight="1">
      <c r="A1333" s="515">
        <f t="shared" si="445"/>
        <v>0</v>
      </c>
      <c r="B1333" s="478">
        <f t="shared" si="446"/>
        <v>0</v>
      </c>
      <c r="C1333" s="478"/>
      <c r="D1333" s="526">
        <f t="shared" si="447"/>
        <v>0</v>
      </c>
      <c r="E1333" s="622"/>
      <c r="F1333" s="472">
        <f t="shared" si="448"/>
        <v>0</v>
      </c>
      <c r="G1333" s="472">
        <f t="shared" si="449"/>
        <v>0</v>
      </c>
    </row>
    <row r="1334" spans="1:7" ht="19.899999999999999" customHeight="1">
      <c r="A1334" s="515">
        <f t="shared" si="445"/>
        <v>0</v>
      </c>
      <c r="B1334" s="478">
        <f t="shared" si="446"/>
        <v>0</v>
      </c>
      <c r="C1334" s="478"/>
      <c r="D1334" s="526">
        <f t="shared" si="447"/>
        <v>0</v>
      </c>
      <c r="E1334" s="622"/>
      <c r="F1334" s="472">
        <f t="shared" si="448"/>
        <v>0</v>
      </c>
      <c r="G1334" s="472">
        <f t="shared" si="449"/>
        <v>0</v>
      </c>
    </row>
    <row r="1335" spans="1:7" ht="19.899999999999999" customHeight="1">
      <c r="A1335" s="515">
        <f t="shared" si="445"/>
        <v>0</v>
      </c>
      <c r="B1335" s="478">
        <f t="shared" si="446"/>
        <v>0</v>
      </c>
      <c r="C1335" s="478"/>
      <c r="D1335" s="526">
        <f t="shared" si="447"/>
        <v>0</v>
      </c>
      <c r="E1335" s="622"/>
      <c r="F1335" s="472">
        <f t="shared" si="448"/>
        <v>0</v>
      </c>
      <c r="G1335" s="472">
        <f t="shared" si="449"/>
        <v>0</v>
      </c>
    </row>
    <row r="1336" spans="1:7" ht="19.899999999999999" customHeight="1">
      <c r="A1336" s="515">
        <f t="shared" si="445"/>
        <v>0</v>
      </c>
      <c r="B1336" s="478">
        <f t="shared" si="446"/>
        <v>0</v>
      </c>
      <c r="C1336" s="478"/>
      <c r="D1336" s="526">
        <f t="shared" si="447"/>
        <v>0</v>
      </c>
      <c r="E1336" s="621"/>
      <c r="F1336" s="472">
        <f t="shared" si="448"/>
        <v>0</v>
      </c>
      <c r="G1336" s="472">
        <f t="shared" si="449"/>
        <v>0</v>
      </c>
    </row>
    <row r="1337" spans="1:7" ht="19.899999999999999" customHeight="1">
      <c r="A1337" s="515">
        <f t="shared" si="445"/>
        <v>0</v>
      </c>
      <c r="B1337" s="478">
        <f t="shared" si="446"/>
        <v>0</v>
      </c>
      <c r="C1337" s="478"/>
      <c r="D1337" s="526">
        <f t="shared" si="447"/>
        <v>0</v>
      </c>
      <c r="E1337" s="470"/>
      <c r="F1337" s="472">
        <f t="shared" si="448"/>
        <v>0</v>
      </c>
      <c r="G1337" s="472">
        <f t="shared" si="449"/>
        <v>0</v>
      </c>
    </row>
    <row r="1338" spans="1:7" ht="19.899999999999999" customHeight="1">
      <c r="A1338" s="515">
        <f t="shared" si="445"/>
        <v>0</v>
      </c>
      <c r="B1338" s="478">
        <f t="shared" si="446"/>
        <v>0</v>
      </c>
      <c r="C1338" s="478"/>
      <c r="D1338" s="526">
        <f t="shared" si="447"/>
        <v>0</v>
      </c>
      <c r="E1338" s="470"/>
      <c r="F1338" s="472">
        <f t="shared" si="448"/>
        <v>0</v>
      </c>
      <c r="G1338" s="472">
        <f t="shared" si="449"/>
        <v>0</v>
      </c>
    </row>
    <row r="1339" spans="1:7" ht="19.899999999999999" customHeight="1">
      <c r="A1339" s="515">
        <f t="shared" si="445"/>
        <v>0</v>
      </c>
      <c r="B1339" s="478">
        <f t="shared" si="446"/>
        <v>0</v>
      </c>
      <c r="C1339" s="478"/>
      <c r="D1339" s="526">
        <f t="shared" ref="D1339" si="450">IFERROR(VLOOKUP(C1339,T_Insumos,2,FALSE),0)</f>
        <v>0</v>
      </c>
      <c r="E1339" s="470"/>
      <c r="F1339" s="472">
        <f t="shared" ref="F1339" si="451">IFERROR(VLOOKUP(C1339,T_Insumos,3,FALSE),0)</f>
        <v>0</v>
      </c>
      <c r="G1339" s="472">
        <f t="shared" si="449"/>
        <v>0</v>
      </c>
    </row>
    <row r="1340" spans="1:7" ht="19.899999999999999" customHeight="1">
      <c r="A1340" s="513"/>
      <c r="B1340" s="163"/>
      <c r="C1340" s="163"/>
      <c r="D1340" s="459"/>
      <c r="E1340" s="460"/>
      <c r="F1340" s="481" t="s">
        <v>28</v>
      </c>
      <c r="G1340" s="518">
        <f>SUBTOTAL(9,G1329:G1339)</f>
        <v>0</v>
      </c>
    </row>
    <row r="1341" spans="1:7" ht="19.899999999999999" customHeight="1">
      <c r="A1341" s="513"/>
      <c r="B1341" s="163"/>
      <c r="C1341" s="455" t="s">
        <v>1014</v>
      </c>
      <c r="D1341" s="459"/>
      <c r="E1341" s="460"/>
      <c r="F1341" s="461"/>
      <c r="G1341" s="514"/>
    </row>
    <row r="1342" spans="1:7" ht="19.899999999999999" customHeight="1">
      <c r="A1342" s="677" t="s">
        <v>575</v>
      </c>
      <c r="B1342" s="678"/>
      <c r="C1342" s="679" t="s">
        <v>0</v>
      </c>
      <c r="D1342" s="679" t="s">
        <v>1865</v>
      </c>
      <c r="E1342" s="681" t="s">
        <v>23</v>
      </c>
      <c r="F1342" s="683" t="s">
        <v>24</v>
      </c>
      <c r="G1342" s="685" t="s">
        <v>25</v>
      </c>
    </row>
    <row r="1343" spans="1:7" ht="19.899999999999999" customHeight="1">
      <c r="A1343" s="477" t="s">
        <v>576</v>
      </c>
      <c r="B1343" s="477" t="s">
        <v>577</v>
      </c>
      <c r="C1343" s="680"/>
      <c r="D1343" s="680"/>
      <c r="E1343" s="682"/>
      <c r="F1343" s="684"/>
      <c r="G1343" s="686"/>
    </row>
    <row r="1344" spans="1:7" ht="19.899999999999999" customHeight="1">
      <c r="A1344" s="515">
        <f>IFERROR(VLOOKUP(C1344,T_Insumos,4,FALSE),0)</f>
        <v>0</v>
      </c>
      <c r="B1344" s="478">
        <f>IFERROR(VLOOKUP(C1344,T_Insumos,5,FALSE),0)</f>
        <v>0</v>
      </c>
      <c r="C1344" s="469"/>
      <c r="D1344" s="526">
        <f>IF(C1344=0,0,"$/tnkm")</f>
        <v>0</v>
      </c>
      <c r="E1344" s="470"/>
      <c r="F1344" s="472">
        <f>IFERROR(VLOOKUP(C1344,T_Insumos,3,FALSE),0)</f>
        <v>0</v>
      </c>
      <c r="G1344" s="472">
        <f>ROUND(E1344*F1344,2)</f>
        <v>0</v>
      </c>
    </row>
    <row r="1345" spans="1:7" ht="19.899999999999999" customHeight="1">
      <c r="A1345" s="515">
        <f>IFERROR(VLOOKUP(C1345,T_Insumos,4,FALSE),0)</f>
        <v>0</v>
      </c>
      <c r="B1345" s="478">
        <f>IFERROR(VLOOKUP(C1345,T_Insumos,5,FALSE),0)</f>
        <v>0</v>
      </c>
      <c r="C1345" s="469"/>
      <c r="D1345" s="526">
        <f>IF(C1345=0,0,"$/tnkm")</f>
        <v>0</v>
      </c>
      <c r="E1345" s="486"/>
      <c r="F1345" s="472">
        <f>IFERROR(VLOOKUP(C1345,T_Insumos,3,FALSE),0)</f>
        <v>0</v>
      </c>
      <c r="G1345" s="472">
        <f t="shared" ref="G1345" si="452">ROUND(E1345*F1345,2)</f>
        <v>0</v>
      </c>
    </row>
    <row r="1346" spans="1:7" ht="19.899999999999999" customHeight="1">
      <c r="A1346" s="513"/>
      <c r="B1346" s="163"/>
      <c r="C1346" s="163"/>
      <c r="D1346" s="459"/>
      <c r="E1346" s="460"/>
      <c r="F1346" s="481" t="s">
        <v>1015</v>
      </c>
      <c r="G1346" s="518">
        <f>SUBTOTAL(9,G1344:G1345)</f>
        <v>0</v>
      </c>
    </row>
    <row r="1347" spans="1:7" ht="19.899999999999999" customHeight="1">
      <c r="A1347" s="516"/>
      <c r="B1347" s="459"/>
      <c r="C1347" s="163"/>
      <c r="D1347" s="459"/>
      <c r="E1347" s="460"/>
      <c r="F1347" s="461"/>
      <c r="G1347" s="514"/>
    </row>
    <row r="1348" spans="1:7" ht="19.899999999999999" customHeight="1">
      <c r="A1348" s="574" t="str">
        <f>B1282</f>
        <v>5.1.3</v>
      </c>
      <c r="B1348" s="571" t="str">
        <f ca="1">C1282</f>
        <v>Excavación</v>
      </c>
      <c r="C1348" s="459"/>
      <c r="D1348" s="459" t="s">
        <v>1831</v>
      </c>
      <c r="E1348" s="572"/>
      <c r="F1348" s="573" t="str">
        <f ca="1">"$/"&amp;G1282</f>
        <v>$/m3</v>
      </c>
      <c r="G1348" s="523">
        <f>SUBTOTAL(9,G1305:G1347)</f>
        <v>0</v>
      </c>
    </row>
    <row r="1349" spans="1:7" ht="19.899999999999999" customHeight="1">
      <c r="A1349" s="519"/>
      <c r="B1349" s="520"/>
      <c r="C1349" s="521"/>
      <c r="D1349" s="521" t="s">
        <v>2041</v>
      </c>
      <c r="E1349" s="522"/>
      <c r="F1349" s="575" t="str">
        <f ca="1">"$/"&amp;G1282</f>
        <v>$/m3</v>
      </c>
      <c r="G1349" s="523">
        <f>ROUND(G1348*Coeficiente_Paso,2)</f>
        <v>0</v>
      </c>
    </row>
    <row r="1350" spans="1:7" ht="19.899999999999999" customHeight="1">
      <c r="A1350" s="163"/>
      <c r="B1350" s="163"/>
      <c r="C1350" s="163"/>
      <c r="D1350" s="163"/>
      <c r="E1350" s="163"/>
      <c r="F1350" s="163"/>
      <c r="G1350" s="163"/>
    </row>
    <row r="1351" spans="1:7" ht="19.899999999999999" customHeight="1">
      <c r="A1351" s="687" t="s">
        <v>30</v>
      </c>
      <c r="B1351" s="688"/>
      <c r="C1351" s="688"/>
      <c r="D1351" s="688"/>
      <c r="E1351" s="688"/>
      <c r="F1351" s="688"/>
      <c r="G1351" s="689"/>
    </row>
    <row r="1352" spans="1:7" ht="19.899999999999999" customHeight="1">
      <c r="A1352" s="502" t="s">
        <v>710</v>
      </c>
      <c r="B1352" s="453" t="str">
        <f>Comitente</f>
        <v>DEPARTAMENTO DE HIDRAULICA</v>
      </c>
      <c r="C1352" s="454"/>
      <c r="D1352" s="455"/>
      <c r="E1352" s="455"/>
      <c r="F1352" s="456"/>
      <c r="G1352" s="503"/>
    </row>
    <row r="1353" spans="1:7" ht="19.899999999999999" customHeight="1">
      <c r="A1353" s="502" t="s">
        <v>711</v>
      </c>
      <c r="B1353" s="453">
        <f>Contratista</f>
        <v>0</v>
      </c>
      <c r="C1353" s="457"/>
      <c r="D1353" s="457"/>
      <c r="E1353" s="457"/>
      <c r="F1353" s="453"/>
      <c r="G1353" s="504"/>
    </row>
    <row r="1354" spans="1:7" ht="19.899999999999999" customHeight="1">
      <c r="A1354" s="502" t="s">
        <v>20</v>
      </c>
      <c r="B1354" s="453" t="str">
        <f>Obra</f>
        <v>MEJORA DE LA RED DE RIEGO DEL VALLE DE JÁCHAL</v>
      </c>
      <c r="C1354" s="457"/>
      <c r="D1354" s="457"/>
      <c r="E1354" s="457"/>
      <c r="F1354" s="453" t="s">
        <v>31</v>
      </c>
      <c r="G1354" s="504" t="str">
        <f>Fecha_Base</f>
        <v>XX/07/2020</v>
      </c>
    </row>
    <row r="1355" spans="1:7" ht="19.899999999999999" customHeight="1">
      <c r="A1355" s="505" t="s">
        <v>709</v>
      </c>
      <c r="B1355" s="458" t="str">
        <f>Ubicación</f>
        <v>JACHAL</v>
      </c>
      <c r="C1355" s="458"/>
      <c r="D1355" s="459"/>
      <c r="E1355" s="460"/>
      <c r="F1355" s="461"/>
      <c r="G1355" s="506"/>
    </row>
    <row r="1356" spans="1:7" ht="19.899999999999999" customHeight="1">
      <c r="A1356" s="505" t="s">
        <v>32</v>
      </c>
      <c r="B1356" s="462">
        <f>IFERROR(VALUE(LEFT(B1357,FIND(".",B1357)-1)),"")</f>
        <v>5</v>
      </c>
      <c r="C1356" s="163" t="str">
        <f ca="1">IFERROR(VLOOKUP(B1356,T_Computo_Presupuesto,2,FALSE),0)</f>
        <v>CANAL MATRIZ</v>
      </c>
      <c r="D1356" s="163"/>
      <c r="E1356" s="460"/>
      <c r="F1356" s="461"/>
      <c r="G1356" s="506"/>
    </row>
    <row r="1357" spans="1:7" ht="19.899999999999999" customHeight="1">
      <c r="A1357" s="505" t="s">
        <v>21</v>
      </c>
      <c r="B1357" s="463" t="str">
        <f>IFERROR(VLOOKUP(COUNTIF($A$1:A1357,"ANALISIS DE PRECIOS"),T_NumeroItem,2,FALSE),"")</f>
        <v>5.1.4</v>
      </c>
      <c r="C1357" s="690" t="str">
        <f ca="1">IFERROR(VLOOKUP(B1357,T_Computo_Presupuesto,2,FALSE),0)</f>
        <v>Relleno y compactación</v>
      </c>
      <c r="D1357" s="690"/>
      <c r="E1357" s="690"/>
      <c r="F1357" s="458" t="s">
        <v>22</v>
      </c>
      <c r="G1357" s="507" t="str">
        <f ca="1">IFERROR(VLOOKUP(B1357,T_Computo_Presupuesto,4,FALSE),0)</f>
        <v>m3</v>
      </c>
    </row>
    <row r="1358" spans="1:7" ht="19.899999999999999" customHeight="1">
      <c r="A1358" s="505"/>
      <c r="B1358" s="458"/>
      <c r="C1358" s="163"/>
      <c r="D1358" s="459"/>
      <c r="E1358" s="460"/>
      <c r="F1358" s="163"/>
      <c r="G1358" s="508"/>
    </row>
    <row r="1359" spans="1:7" ht="19.899999999999999" customHeight="1">
      <c r="A1359" s="509"/>
      <c r="B1359" s="464"/>
      <c r="C1359" s="465" t="s">
        <v>998</v>
      </c>
      <c r="D1359" s="464"/>
      <c r="E1359" s="464"/>
      <c r="F1359" s="464"/>
      <c r="G1359" s="510"/>
    </row>
    <row r="1360" spans="1:7" ht="19.899999999999999" customHeight="1">
      <c r="A1360" s="505"/>
      <c r="B1360" s="466"/>
      <c r="C1360" s="163"/>
      <c r="D1360" s="459"/>
      <c r="E1360" s="460"/>
      <c r="F1360" s="458"/>
      <c r="G1360" s="507"/>
    </row>
    <row r="1361" spans="1:7" ht="19.899999999999999" customHeight="1">
      <c r="A1361" s="505"/>
      <c r="B1361" s="466"/>
      <c r="C1361" s="467" t="s">
        <v>999</v>
      </c>
      <c r="D1361" s="468" t="s">
        <v>23</v>
      </c>
      <c r="E1361" s="468" t="s">
        <v>1000</v>
      </c>
      <c r="F1361" s="468" t="s">
        <v>1001</v>
      </c>
      <c r="G1361" s="467" t="s">
        <v>1002</v>
      </c>
    </row>
    <row r="1362" spans="1:7" ht="19.899999999999999" customHeight="1">
      <c r="A1362" s="505"/>
      <c r="B1362" s="466"/>
      <c r="C1362" s="469"/>
      <c r="D1362" s="470"/>
      <c r="E1362" s="471">
        <f t="shared" ref="E1362:E1370" si="453">IFERROR(VLOOKUP(C1362,T_Equipos,4,FALSE),0)</f>
        <v>0</v>
      </c>
      <c r="F1362" s="472">
        <f t="shared" ref="F1362:F1370" si="454">IFERROR(VLOOKUP(C1362,T_Equipos,5,FALSE),0)</f>
        <v>0</v>
      </c>
      <c r="G1362" s="472">
        <f>ROUND(D1362*F1362,2)</f>
        <v>0</v>
      </c>
    </row>
    <row r="1363" spans="1:7" ht="19.899999999999999" customHeight="1">
      <c r="A1363" s="505"/>
      <c r="B1363" s="466"/>
      <c r="C1363" s="469"/>
      <c r="D1363" s="470"/>
      <c r="E1363" s="471">
        <f t="shared" si="453"/>
        <v>0</v>
      </c>
      <c r="F1363" s="472">
        <f t="shared" si="454"/>
        <v>0</v>
      </c>
      <c r="G1363" s="472">
        <f>ROUND(D1363*F1363,2)</f>
        <v>0</v>
      </c>
    </row>
    <row r="1364" spans="1:7" ht="19.899999999999999" customHeight="1">
      <c r="A1364" s="505"/>
      <c r="B1364" s="466"/>
      <c r="C1364" s="469"/>
      <c r="D1364" s="470"/>
      <c r="E1364" s="471">
        <f t="shared" si="453"/>
        <v>0</v>
      </c>
      <c r="F1364" s="472">
        <f t="shared" si="454"/>
        <v>0</v>
      </c>
      <c r="G1364" s="472">
        <f>ROUND(D1364*F1364,2)</f>
        <v>0</v>
      </c>
    </row>
    <row r="1365" spans="1:7" ht="19.899999999999999" customHeight="1">
      <c r="A1365" s="505"/>
      <c r="B1365" s="466"/>
      <c r="C1365" s="469"/>
      <c r="D1365" s="470"/>
      <c r="E1365" s="471">
        <f t="shared" si="453"/>
        <v>0</v>
      </c>
      <c r="F1365" s="472">
        <f t="shared" si="454"/>
        <v>0</v>
      </c>
      <c r="G1365" s="472">
        <f>ROUND(D1365*F1365,2)</f>
        <v>0</v>
      </c>
    </row>
    <row r="1366" spans="1:7" ht="19.899999999999999" customHeight="1">
      <c r="A1366" s="505"/>
      <c r="B1366" s="466"/>
      <c r="C1366" s="469"/>
      <c r="D1366" s="470"/>
      <c r="E1366" s="471">
        <f t="shared" si="453"/>
        <v>0</v>
      </c>
      <c r="F1366" s="472">
        <f t="shared" si="454"/>
        <v>0</v>
      </c>
      <c r="G1366" s="472">
        <f t="shared" ref="G1366:G1371" si="455">ROUND(D1366*F1366,2)</f>
        <v>0</v>
      </c>
    </row>
    <row r="1367" spans="1:7" ht="19.899999999999999" customHeight="1">
      <c r="A1367" s="505"/>
      <c r="B1367" s="466"/>
      <c r="C1367" s="469"/>
      <c r="D1367" s="470"/>
      <c r="E1367" s="471">
        <f t="shared" si="453"/>
        <v>0</v>
      </c>
      <c r="F1367" s="472">
        <f t="shared" si="454"/>
        <v>0</v>
      </c>
      <c r="G1367" s="472">
        <f t="shared" si="455"/>
        <v>0</v>
      </c>
    </row>
    <row r="1368" spans="1:7" ht="19.899999999999999" customHeight="1">
      <c r="A1368" s="505"/>
      <c r="B1368" s="466"/>
      <c r="C1368" s="469"/>
      <c r="D1368" s="470"/>
      <c r="E1368" s="471">
        <f t="shared" si="453"/>
        <v>0</v>
      </c>
      <c r="F1368" s="472">
        <f t="shared" si="454"/>
        <v>0</v>
      </c>
      <c r="G1368" s="472">
        <f t="shared" si="455"/>
        <v>0</v>
      </c>
    </row>
    <row r="1369" spans="1:7" ht="19.899999999999999" customHeight="1">
      <c r="A1369" s="505"/>
      <c r="B1369" s="466"/>
      <c r="C1369" s="469"/>
      <c r="D1369" s="470"/>
      <c r="E1369" s="471">
        <f t="shared" si="453"/>
        <v>0</v>
      </c>
      <c r="F1369" s="472">
        <f t="shared" si="454"/>
        <v>0</v>
      </c>
      <c r="G1369" s="472">
        <f t="shared" si="455"/>
        <v>0</v>
      </c>
    </row>
    <row r="1370" spans="1:7" ht="19.899999999999999" customHeight="1">
      <c r="A1370" s="505"/>
      <c r="B1370" s="466"/>
      <c r="C1370" s="469"/>
      <c r="D1370" s="470"/>
      <c r="E1370" s="471">
        <f t="shared" si="453"/>
        <v>0</v>
      </c>
      <c r="F1370" s="472">
        <f t="shared" si="454"/>
        <v>0</v>
      </c>
      <c r="G1370" s="472">
        <f t="shared" si="455"/>
        <v>0</v>
      </c>
    </row>
    <row r="1371" spans="1:7" ht="19.899999999999999" customHeight="1">
      <c r="A1371" s="505"/>
      <c r="B1371" s="466"/>
      <c r="C1371" s="469"/>
      <c r="D1371" s="470"/>
      <c r="E1371" s="471">
        <f t="shared" ref="E1371" si="456">IFERROR(VLOOKUP(C1371,T_Equipos,4,FALSE),0)</f>
        <v>0</v>
      </c>
      <c r="F1371" s="472">
        <f t="shared" ref="F1371" si="457">IFERROR(VLOOKUP(C1371,T_Equipos,5,FALSE),0)</f>
        <v>0</v>
      </c>
      <c r="G1371" s="472">
        <f t="shared" si="455"/>
        <v>0</v>
      </c>
    </row>
    <row r="1372" spans="1:7" ht="19.899999999999999" customHeight="1">
      <c r="A1372" s="505"/>
      <c r="B1372" s="466"/>
      <c r="C1372" s="163"/>
      <c r="D1372" s="163"/>
      <c r="E1372" s="473"/>
      <c r="F1372" s="458"/>
      <c r="G1372" s="507"/>
    </row>
    <row r="1373" spans="1:7" ht="19.899999999999999" customHeight="1">
      <c r="A1373" s="505"/>
      <c r="B1373" s="163"/>
      <c r="C1373" s="455" t="s">
        <v>1003</v>
      </c>
      <c r="D1373" s="458" t="s">
        <v>1000</v>
      </c>
      <c r="E1373" s="524">
        <f>SUMPRODUCT(D1362:D1371,E1362:E1371)</f>
        <v>0</v>
      </c>
      <c r="F1373" s="458" t="s">
        <v>1004</v>
      </c>
      <c r="G1373" s="525">
        <f>SUM(G1362:G1371)</f>
        <v>0</v>
      </c>
    </row>
    <row r="1374" spans="1:7" ht="19.899999999999999" customHeight="1">
      <c r="A1374" s="505"/>
      <c r="B1374" s="466"/>
      <c r="C1374" s="474"/>
      <c r="D1374" s="473"/>
      <c r="E1374" s="460"/>
      <c r="F1374" s="458"/>
      <c r="G1374" s="511"/>
    </row>
    <row r="1375" spans="1:7" ht="19.899999999999999" customHeight="1">
      <c r="A1375" s="512"/>
      <c r="B1375" s="466"/>
      <c r="C1375" s="458" t="s">
        <v>1005</v>
      </c>
      <c r="D1375" s="475"/>
      <c r="E1375" s="476" t="str">
        <f ca="1">G1357&amp;"/día"</f>
        <v>m3/día</v>
      </c>
      <c r="F1375" s="452"/>
      <c r="G1375" s="507"/>
    </row>
    <row r="1376" spans="1:7" ht="19.899999999999999" customHeight="1">
      <c r="A1376" s="505"/>
      <c r="B1376" s="466"/>
      <c r="C1376" s="163"/>
      <c r="D1376" s="459"/>
      <c r="E1376" s="460"/>
      <c r="F1376" s="458"/>
      <c r="G1376" s="507"/>
    </row>
    <row r="1377" spans="1:7" ht="19.899999999999999" customHeight="1">
      <c r="A1377" s="677" t="s">
        <v>575</v>
      </c>
      <c r="B1377" s="678"/>
      <c r="C1377" s="679" t="s">
        <v>0</v>
      </c>
      <c r="D1377" s="691" t="s">
        <v>1864</v>
      </c>
      <c r="E1377" s="691" t="s">
        <v>1863</v>
      </c>
      <c r="F1377" s="683" t="s">
        <v>1006</v>
      </c>
      <c r="G1377" s="685" t="s">
        <v>25</v>
      </c>
    </row>
    <row r="1378" spans="1:7" ht="19.899999999999999" customHeight="1">
      <c r="A1378" s="477" t="s">
        <v>576</v>
      </c>
      <c r="B1378" s="477" t="s">
        <v>577</v>
      </c>
      <c r="C1378" s="680"/>
      <c r="D1378" s="692"/>
      <c r="E1378" s="682"/>
      <c r="F1378" s="684"/>
      <c r="G1378" s="686"/>
    </row>
    <row r="1379" spans="1:7" ht="19.899999999999999" customHeight="1">
      <c r="A1379" s="513"/>
      <c r="B1379" s="163"/>
      <c r="C1379" s="455" t="s">
        <v>1007</v>
      </c>
      <c r="D1379" s="460"/>
      <c r="E1379" s="460"/>
      <c r="F1379" s="163"/>
      <c r="G1379" s="514"/>
    </row>
    <row r="1380" spans="1:7" ht="19.899999999999999" customHeight="1">
      <c r="A1380" s="515">
        <f t="shared" ref="A1380:A1387" si="458">IFERROR(VLOOKUP(C1380,T_Insumos,4,FALSE),0)</f>
        <v>0</v>
      </c>
      <c r="B1380" s="478">
        <f t="shared" ref="B1380:B1387" si="459">IFERROR(VLOOKUP(C1380,T_Insumos,5,FALSE),0)</f>
        <v>0</v>
      </c>
      <c r="C1380" s="469"/>
      <c r="D1380" s="479">
        <f t="shared" ref="D1380:D1387" si="460">IFERROR(VLOOKUP(C1380,T_Insumos,3,FALSE),0)</f>
        <v>0</v>
      </c>
      <c r="E1380" s="472">
        <f>D1380*$G$1373</f>
        <v>0</v>
      </c>
      <c r="F1380" s="475">
        <f>IF(C1380="",0,IFERROR(VLOOKUP(COUNTIF($A$1:A1380,"ANALISIS DE PRECIOS"),T_Rendimiento_Equipo,5,FALSE),0))</f>
        <v>0</v>
      </c>
      <c r="G1380" s="472">
        <f>IFERROR(ROUND(E1380/F1380,2),0)</f>
        <v>0</v>
      </c>
    </row>
    <row r="1381" spans="1:7" ht="19.899999999999999" customHeight="1">
      <c r="A1381" s="515">
        <f t="shared" si="458"/>
        <v>0</v>
      </c>
      <c r="B1381" s="478">
        <f t="shared" si="459"/>
        <v>0</v>
      </c>
      <c r="C1381" s="469"/>
      <c r="D1381" s="479">
        <f t="shared" si="460"/>
        <v>0</v>
      </c>
      <c r="E1381" s="472">
        <f t="shared" ref="E1381:E1388" si="461">D1381*$G$1373</f>
        <v>0</v>
      </c>
      <c r="F1381" s="475">
        <f>IF(C1381="",0,IFERROR(VLOOKUP(COUNTIF($A$1:A1381,"ANALISIS DE PRECIOS"),T_Rendimiento_Equipo,5,FALSE),0))</f>
        <v>0</v>
      </c>
      <c r="G1381" s="472">
        <f t="shared" ref="G1381:G1388" si="462">IFERROR(ROUND(E1381/F1381,2),0)</f>
        <v>0</v>
      </c>
    </row>
    <row r="1382" spans="1:7" ht="19.899999999999999" customHeight="1">
      <c r="A1382" s="515">
        <f t="shared" si="458"/>
        <v>0</v>
      </c>
      <c r="B1382" s="478">
        <f t="shared" si="459"/>
        <v>0</v>
      </c>
      <c r="C1382" s="480"/>
      <c r="D1382" s="479">
        <f t="shared" si="460"/>
        <v>0</v>
      </c>
      <c r="E1382" s="472">
        <f t="shared" si="461"/>
        <v>0</v>
      </c>
      <c r="F1382" s="475">
        <f>IF(C1382="",0,IFERROR(VLOOKUP(COUNTIF($A$1:A1382,"ANALISIS DE PRECIOS"),T_Rendimiento_Equipo,5,FALSE),0))</f>
        <v>0</v>
      </c>
      <c r="G1382" s="472">
        <f t="shared" si="462"/>
        <v>0</v>
      </c>
    </row>
    <row r="1383" spans="1:7" ht="19.899999999999999" customHeight="1">
      <c r="A1383" s="515">
        <f t="shared" si="458"/>
        <v>0</v>
      </c>
      <c r="B1383" s="478">
        <f t="shared" si="459"/>
        <v>0</v>
      </c>
      <c r="C1383" s="480"/>
      <c r="D1383" s="479">
        <f t="shared" si="460"/>
        <v>0</v>
      </c>
      <c r="E1383" s="472">
        <f t="shared" si="461"/>
        <v>0</v>
      </c>
      <c r="F1383" s="475">
        <f>IF(C1383="",0,IFERROR(VLOOKUP(COUNTIF($A$1:A1383,"ANALISIS DE PRECIOS"),T_Rendimiento_Equipo,5,FALSE),0))</f>
        <v>0</v>
      </c>
      <c r="G1383" s="472">
        <f t="shared" si="462"/>
        <v>0</v>
      </c>
    </row>
    <row r="1384" spans="1:7" ht="19.899999999999999" customHeight="1">
      <c r="A1384" s="515">
        <f t="shared" si="458"/>
        <v>0</v>
      </c>
      <c r="B1384" s="478">
        <f t="shared" si="459"/>
        <v>0</v>
      </c>
      <c r="C1384" s="480"/>
      <c r="D1384" s="479">
        <f t="shared" si="460"/>
        <v>0</v>
      </c>
      <c r="E1384" s="472">
        <f t="shared" si="461"/>
        <v>0</v>
      </c>
      <c r="F1384" s="475">
        <f>IF(C1384="",0,IFERROR(VLOOKUP(COUNTIF($A$1:A1384,"ANALISIS DE PRECIOS"),T_Rendimiento_Equipo,5,FALSE),0))</f>
        <v>0</v>
      </c>
      <c r="G1384" s="472">
        <f t="shared" si="462"/>
        <v>0</v>
      </c>
    </row>
    <row r="1385" spans="1:7" ht="19.899999999999999" customHeight="1">
      <c r="A1385" s="515">
        <f t="shared" si="458"/>
        <v>0</v>
      </c>
      <c r="B1385" s="478">
        <f t="shared" si="459"/>
        <v>0</v>
      </c>
      <c r="C1385" s="480"/>
      <c r="D1385" s="479">
        <f t="shared" si="460"/>
        <v>0</v>
      </c>
      <c r="E1385" s="472">
        <f t="shared" si="461"/>
        <v>0</v>
      </c>
      <c r="F1385" s="475">
        <f>IF(C1385="",0,IFERROR(VLOOKUP(COUNTIF($A$1:A1385,"ANALISIS DE PRECIOS"),T_Rendimiento_Equipo,5,FALSE),0))</f>
        <v>0</v>
      </c>
      <c r="G1385" s="472">
        <f t="shared" si="462"/>
        <v>0</v>
      </c>
    </row>
    <row r="1386" spans="1:7" ht="19.899999999999999" customHeight="1">
      <c r="A1386" s="515">
        <f t="shared" si="458"/>
        <v>0</v>
      </c>
      <c r="B1386" s="478">
        <f t="shared" si="459"/>
        <v>0</v>
      </c>
      <c r="C1386" s="480"/>
      <c r="D1386" s="479">
        <f t="shared" si="460"/>
        <v>0</v>
      </c>
      <c r="E1386" s="472">
        <f t="shared" si="461"/>
        <v>0</v>
      </c>
      <c r="F1386" s="475">
        <f>IF(C1386="",0,IFERROR(VLOOKUP(COUNTIF($A$1:A1386,"ANALISIS DE PRECIOS"),T_Rendimiento_Equipo,5,FALSE),0))</f>
        <v>0</v>
      </c>
      <c r="G1386" s="472">
        <f t="shared" si="462"/>
        <v>0</v>
      </c>
    </row>
    <row r="1387" spans="1:7" ht="19.899999999999999" customHeight="1">
      <c r="A1387" s="515">
        <f t="shared" si="458"/>
        <v>0</v>
      </c>
      <c r="B1387" s="478">
        <f t="shared" si="459"/>
        <v>0</v>
      </c>
      <c r="C1387" s="480"/>
      <c r="D1387" s="479">
        <f t="shared" si="460"/>
        <v>0</v>
      </c>
      <c r="E1387" s="472">
        <f t="shared" si="461"/>
        <v>0</v>
      </c>
      <c r="F1387" s="475">
        <f>IF(C1387="",0,IFERROR(VLOOKUP(COUNTIF($A$1:A1387,"ANALISIS DE PRECIOS"),T_Rendimiento_Equipo,5,FALSE),0))</f>
        <v>0</v>
      </c>
      <c r="G1387" s="472">
        <f t="shared" si="462"/>
        <v>0</v>
      </c>
    </row>
    <row r="1388" spans="1:7" ht="19.899999999999999" customHeight="1">
      <c r="A1388" s="515">
        <f t="shared" ref="A1388" si="463">IFERROR(VLOOKUP(C1388,T_Insumos,4,FALSE),0)</f>
        <v>0</v>
      </c>
      <c r="B1388" s="478">
        <f t="shared" ref="B1388" si="464">IFERROR(VLOOKUP(C1388,T_Insumos,5,FALSE),0)</f>
        <v>0</v>
      </c>
      <c r="C1388" s="469"/>
      <c r="D1388" s="479">
        <f t="shared" ref="D1388" si="465">IFERROR(VLOOKUP(C1388,T_Insumos,3,FALSE),0)</f>
        <v>0</v>
      </c>
      <c r="E1388" s="472">
        <f t="shared" si="461"/>
        <v>0</v>
      </c>
      <c r="F1388" s="475">
        <f>IF(C1388="",0,IFERROR(VLOOKUP(COUNTIF($A$1:A1388,"ANALISIS DE PRECIOS"),T_Rendimiento_Equipo,5,FALSE),0))</f>
        <v>0</v>
      </c>
      <c r="G1388" s="472">
        <f t="shared" si="462"/>
        <v>0</v>
      </c>
    </row>
    <row r="1389" spans="1:7" ht="19.899999999999999" customHeight="1">
      <c r="A1389" s="516"/>
      <c r="B1389" s="459"/>
      <c r="C1389" s="163"/>
      <c r="D1389" s="459"/>
      <c r="E1389" s="460"/>
      <c r="F1389" s="481" t="s">
        <v>26</v>
      </c>
      <c r="G1389" s="517">
        <f>SUBTOTAL(9,G1380:G1388)</f>
        <v>0</v>
      </c>
    </row>
    <row r="1390" spans="1:7" ht="19.899999999999999" customHeight="1">
      <c r="A1390" s="513"/>
      <c r="B1390" s="163"/>
      <c r="C1390" s="455" t="s">
        <v>712</v>
      </c>
      <c r="D1390" s="459"/>
      <c r="E1390" s="460"/>
      <c r="F1390" s="461"/>
      <c r="G1390" s="514"/>
    </row>
    <row r="1391" spans="1:7" ht="19.899999999999999" customHeight="1">
      <c r="A1391" s="677" t="s">
        <v>575</v>
      </c>
      <c r="B1391" s="678"/>
      <c r="C1391" s="679" t="s">
        <v>0</v>
      </c>
      <c r="D1391" s="681" t="s">
        <v>23</v>
      </c>
      <c r="E1391" s="681" t="s">
        <v>1830</v>
      </c>
      <c r="F1391" s="683" t="s">
        <v>1006</v>
      </c>
      <c r="G1391" s="685" t="s">
        <v>25</v>
      </c>
    </row>
    <row r="1392" spans="1:7" ht="19.899999999999999" customHeight="1">
      <c r="A1392" s="477" t="s">
        <v>576</v>
      </c>
      <c r="B1392" s="477" t="s">
        <v>577</v>
      </c>
      <c r="C1392" s="680"/>
      <c r="D1392" s="682"/>
      <c r="E1392" s="682"/>
      <c r="F1392" s="684"/>
      <c r="G1392" s="686"/>
    </row>
    <row r="1393" spans="1:7" ht="19.899999999999999" customHeight="1">
      <c r="A1393" s="515">
        <f t="shared" ref="A1393:A1398" si="466">IFERROR(VLOOKUP(C1393,T_Insumos,4,FALSE),0)</f>
        <v>0</v>
      </c>
      <c r="B1393" s="478">
        <f t="shared" ref="B1393:B1398" si="467">IFERROR(VLOOKUP(C1393,T_Insumos,5,FALSE),0)</f>
        <v>0</v>
      </c>
      <c r="C1393" s="482"/>
      <c r="D1393" s="475"/>
      <c r="E1393" s="472">
        <f t="shared" ref="E1393:E1398" si="468">IFERROR(VLOOKUP(C1393,T_Insumos,3,FALSE),0)</f>
        <v>0</v>
      </c>
      <c r="F1393" s="475">
        <f>IF(C1393="",0,IFERROR(VLOOKUP(COUNTIF($A$1:A1393,"ANALISIS DE PRECIOS"),T_Rendimiento_Equipo,5,FALSE),0))</f>
        <v>0</v>
      </c>
      <c r="G1393" s="472">
        <f>IFERROR(ROUND(D1393*E1393/F1393,2),0)</f>
        <v>0</v>
      </c>
    </row>
    <row r="1394" spans="1:7" ht="19.899999999999999" customHeight="1">
      <c r="A1394" s="515">
        <f t="shared" si="466"/>
        <v>0</v>
      </c>
      <c r="B1394" s="478">
        <f t="shared" si="467"/>
        <v>0</v>
      </c>
      <c r="C1394" s="469"/>
      <c r="D1394" s="475"/>
      <c r="E1394" s="472">
        <f t="shared" si="468"/>
        <v>0</v>
      </c>
      <c r="F1394" s="475">
        <f>IF(C1394="",0,IFERROR(VLOOKUP(COUNTIF($A$1:A1394,"ANALISIS DE PRECIOS"),T_Rendimiento_Equipo,5,FALSE),0))</f>
        <v>0</v>
      </c>
      <c r="G1394" s="472">
        <f t="shared" ref="G1394:G1399" si="469">IFERROR(ROUND(D1394*E1394/F1394,2),0)</f>
        <v>0</v>
      </c>
    </row>
    <row r="1395" spans="1:7" ht="19.899999999999999" customHeight="1">
      <c r="A1395" s="515">
        <f t="shared" si="466"/>
        <v>0</v>
      </c>
      <c r="B1395" s="478">
        <f t="shared" si="467"/>
        <v>0</v>
      </c>
      <c r="C1395" s="469"/>
      <c r="D1395" s="475"/>
      <c r="E1395" s="472">
        <f t="shared" si="468"/>
        <v>0</v>
      </c>
      <c r="F1395" s="475">
        <f>IF(C1395="",0,IFERROR(VLOOKUP(COUNTIF($A$1:A1395,"ANALISIS DE PRECIOS"),T_Rendimiento_Equipo,5,FALSE),0))</f>
        <v>0</v>
      </c>
      <c r="G1395" s="472">
        <f t="shared" si="469"/>
        <v>0</v>
      </c>
    </row>
    <row r="1396" spans="1:7" ht="19.899999999999999" customHeight="1">
      <c r="A1396" s="515">
        <f t="shared" si="466"/>
        <v>0</v>
      </c>
      <c r="B1396" s="478">
        <f t="shared" si="467"/>
        <v>0</v>
      </c>
      <c r="C1396" s="469"/>
      <c r="D1396" s="475"/>
      <c r="E1396" s="472">
        <f t="shared" si="468"/>
        <v>0</v>
      </c>
      <c r="F1396" s="475">
        <f>IF(C1396="",0,IFERROR(VLOOKUP(COUNTIF($A$1:A1396,"ANALISIS DE PRECIOS"),T_Rendimiento_Equipo,5,FALSE),0))</f>
        <v>0</v>
      </c>
      <c r="G1396" s="472">
        <f t="shared" si="469"/>
        <v>0</v>
      </c>
    </row>
    <row r="1397" spans="1:7" ht="19.899999999999999" customHeight="1">
      <c r="A1397" s="515">
        <f t="shared" si="466"/>
        <v>0</v>
      </c>
      <c r="B1397" s="478">
        <f t="shared" si="467"/>
        <v>0</v>
      </c>
      <c r="C1397" s="469"/>
      <c r="D1397" s="475"/>
      <c r="E1397" s="472">
        <f t="shared" si="468"/>
        <v>0</v>
      </c>
      <c r="F1397" s="475">
        <f>IF(C1397="",0,IFERROR(VLOOKUP(COUNTIF($A$1:A1397,"ANALISIS DE PRECIOS"),T_Rendimiento_Equipo,5,FALSE),0))</f>
        <v>0</v>
      </c>
      <c r="G1397" s="472">
        <f t="shared" si="469"/>
        <v>0</v>
      </c>
    </row>
    <row r="1398" spans="1:7" ht="19.899999999999999" customHeight="1">
      <c r="A1398" s="515">
        <f t="shared" si="466"/>
        <v>0</v>
      </c>
      <c r="B1398" s="478">
        <f t="shared" si="467"/>
        <v>0</v>
      </c>
      <c r="C1398" s="469"/>
      <c r="D1398" s="483"/>
      <c r="E1398" s="472">
        <f t="shared" si="468"/>
        <v>0</v>
      </c>
      <c r="F1398" s="475">
        <f>IF(C1398="",0,IFERROR(VLOOKUP(COUNTIF($A$1:A1398,"ANALISIS DE PRECIOS"),T_Rendimiento_Equipo,5,FALSE),0))</f>
        <v>0</v>
      </c>
      <c r="G1398" s="472">
        <f t="shared" si="469"/>
        <v>0</v>
      </c>
    </row>
    <row r="1399" spans="1:7" ht="19.899999999999999" customHeight="1">
      <c r="A1399" s="515">
        <f t="shared" ref="A1399" si="470">IFERROR(VLOOKUP(C1399,T_Insumos,4,FALSE),0)</f>
        <v>0</v>
      </c>
      <c r="B1399" s="478">
        <f t="shared" ref="B1399" si="471">IFERROR(VLOOKUP(C1399,T_Insumos,5,FALSE),0)</f>
        <v>0</v>
      </c>
      <c r="C1399" s="478"/>
      <c r="D1399" s="484"/>
      <c r="E1399" s="472">
        <f t="shared" ref="E1399" si="472">IFERROR(VLOOKUP(C1399,T_Insumos,3,FALSE),0)</f>
        <v>0</v>
      </c>
      <c r="F1399" s="475">
        <f>IF(C1399="",0,IFERROR(VLOOKUP(COUNTIF($A$1:A1399,"ANALISIS DE PRECIOS"),T_Rendimiento_Equipo,5,FALSE),0))</f>
        <v>0</v>
      </c>
      <c r="G1399" s="472">
        <f t="shared" si="469"/>
        <v>0</v>
      </c>
    </row>
    <row r="1400" spans="1:7" ht="19.899999999999999" customHeight="1">
      <c r="A1400" s="516"/>
      <c r="B1400" s="459"/>
      <c r="C1400" s="163"/>
      <c r="D1400" s="459"/>
      <c r="E1400" s="460"/>
      <c r="F1400" s="481" t="s">
        <v>27</v>
      </c>
      <c r="G1400" s="518">
        <f>SUBTOTAL(9,G1393:G1399)</f>
        <v>0</v>
      </c>
    </row>
    <row r="1401" spans="1:7" ht="19.899999999999999" customHeight="1">
      <c r="A1401" s="513"/>
      <c r="B1401" s="163"/>
      <c r="C1401" s="455" t="s">
        <v>1013</v>
      </c>
      <c r="D1401" s="459"/>
      <c r="E1401" s="460"/>
      <c r="F1401" s="461"/>
      <c r="G1401" s="514"/>
    </row>
    <row r="1402" spans="1:7" ht="19.899999999999999" customHeight="1">
      <c r="A1402" s="677" t="s">
        <v>575</v>
      </c>
      <c r="B1402" s="678"/>
      <c r="C1402" s="679" t="s">
        <v>0</v>
      </c>
      <c r="D1402" s="679" t="s">
        <v>1865</v>
      </c>
      <c r="E1402" s="681" t="s">
        <v>23</v>
      </c>
      <c r="F1402" s="683" t="s">
        <v>24</v>
      </c>
      <c r="G1402" s="685" t="s">
        <v>25</v>
      </c>
    </row>
    <row r="1403" spans="1:7" ht="19.899999999999999" customHeight="1">
      <c r="A1403" s="477" t="s">
        <v>576</v>
      </c>
      <c r="B1403" s="477" t="s">
        <v>577</v>
      </c>
      <c r="C1403" s="680"/>
      <c r="D1403" s="680"/>
      <c r="E1403" s="682"/>
      <c r="F1403" s="684"/>
      <c r="G1403" s="686"/>
    </row>
    <row r="1404" spans="1:7" ht="19.899999999999999" customHeight="1">
      <c r="A1404" s="515">
        <f t="shared" ref="A1404:A1413" si="473">IFERROR(VLOOKUP(C1404,T_Insumos,4,FALSE),0)</f>
        <v>0</v>
      </c>
      <c r="B1404" s="478">
        <f t="shared" ref="B1404:B1413" si="474">IFERROR(VLOOKUP(C1404,T_Insumos,5,FALSE),0)</f>
        <v>0</v>
      </c>
      <c r="C1404" s="478"/>
      <c r="D1404" s="526">
        <f t="shared" ref="D1404:D1413" si="475">IFERROR(VLOOKUP(C1404,T_Insumos,2,FALSE),0)</f>
        <v>0</v>
      </c>
      <c r="E1404" s="624"/>
      <c r="F1404" s="472">
        <f t="shared" ref="F1404:F1413" si="476">IFERROR(VLOOKUP(C1404,T_Insumos,3,FALSE),0)</f>
        <v>0</v>
      </c>
      <c r="G1404" s="472">
        <f>ROUND(E1404*F1404,2)</f>
        <v>0</v>
      </c>
    </row>
    <row r="1405" spans="1:7" ht="19.899999999999999" customHeight="1">
      <c r="A1405" s="515">
        <f t="shared" si="473"/>
        <v>0</v>
      </c>
      <c r="B1405" s="478">
        <f t="shared" si="474"/>
        <v>0</v>
      </c>
      <c r="C1405" s="478"/>
      <c r="D1405" s="526">
        <f t="shared" si="475"/>
        <v>0</v>
      </c>
      <c r="E1405" s="624"/>
      <c r="F1405" s="472">
        <f t="shared" si="476"/>
        <v>0</v>
      </c>
      <c r="G1405" s="472">
        <f t="shared" ref="G1405:G1414" si="477">ROUND(E1405*F1405,2)</f>
        <v>0</v>
      </c>
    </row>
    <row r="1406" spans="1:7" ht="19.899999999999999" customHeight="1">
      <c r="A1406" s="515">
        <f t="shared" si="473"/>
        <v>0</v>
      </c>
      <c r="B1406" s="478">
        <f t="shared" si="474"/>
        <v>0</v>
      </c>
      <c r="C1406" s="478"/>
      <c r="D1406" s="526">
        <f t="shared" si="475"/>
        <v>0</v>
      </c>
      <c r="E1406" s="624"/>
      <c r="F1406" s="472">
        <f t="shared" si="476"/>
        <v>0</v>
      </c>
      <c r="G1406" s="472">
        <f t="shared" si="477"/>
        <v>0</v>
      </c>
    </row>
    <row r="1407" spans="1:7" ht="19.899999999999999" customHeight="1">
      <c r="A1407" s="515">
        <f t="shared" si="473"/>
        <v>0</v>
      </c>
      <c r="B1407" s="478">
        <f t="shared" si="474"/>
        <v>0</v>
      </c>
      <c r="C1407" s="478"/>
      <c r="D1407" s="526">
        <f t="shared" si="475"/>
        <v>0</v>
      </c>
      <c r="E1407" s="624"/>
      <c r="F1407" s="472">
        <f t="shared" si="476"/>
        <v>0</v>
      </c>
      <c r="G1407" s="472">
        <f t="shared" si="477"/>
        <v>0</v>
      </c>
    </row>
    <row r="1408" spans="1:7" ht="19.899999999999999" customHeight="1">
      <c r="A1408" s="515">
        <f t="shared" si="473"/>
        <v>0</v>
      </c>
      <c r="B1408" s="478">
        <f t="shared" si="474"/>
        <v>0</v>
      </c>
      <c r="C1408" s="478"/>
      <c r="D1408" s="526">
        <f t="shared" si="475"/>
        <v>0</v>
      </c>
      <c r="E1408" s="624"/>
      <c r="F1408" s="472">
        <f t="shared" si="476"/>
        <v>0</v>
      </c>
      <c r="G1408" s="472">
        <f t="shared" si="477"/>
        <v>0</v>
      </c>
    </row>
    <row r="1409" spans="1:7" ht="19.899999999999999" customHeight="1">
      <c r="A1409" s="515">
        <f t="shared" si="473"/>
        <v>0</v>
      </c>
      <c r="B1409" s="478">
        <f t="shared" si="474"/>
        <v>0</v>
      </c>
      <c r="C1409" s="478"/>
      <c r="D1409" s="526">
        <f t="shared" si="475"/>
        <v>0</v>
      </c>
      <c r="E1409" s="624"/>
      <c r="F1409" s="472">
        <f t="shared" si="476"/>
        <v>0</v>
      </c>
      <c r="G1409" s="472">
        <f t="shared" si="477"/>
        <v>0</v>
      </c>
    </row>
    <row r="1410" spans="1:7" ht="19.899999999999999" customHeight="1">
      <c r="A1410" s="515">
        <f t="shared" si="473"/>
        <v>0</v>
      </c>
      <c r="B1410" s="478">
        <f t="shared" si="474"/>
        <v>0</v>
      </c>
      <c r="C1410" s="478"/>
      <c r="D1410" s="526">
        <f t="shared" si="475"/>
        <v>0</v>
      </c>
      <c r="E1410" s="624"/>
      <c r="F1410" s="472">
        <f t="shared" si="476"/>
        <v>0</v>
      </c>
      <c r="G1410" s="472">
        <f t="shared" si="477"/>
        <v>0</v>
      </c>
    </row>
    <row r="1411" spans="1:7" ht="19.899999999999999" customHeight="1">
      <c r="A1411" s="515">
        <f t="shared" si="473"/>
        <v>0</v>
      </c>
      <c r="B1411" s="478">
        <f t="shared" si="474"/>
        <v>0</v>
      </c>
      <c r="C1411" s="478"/>
      <c r="D1411" s="526">
        <f t="shared" si="475"/>
        <v>0</v>
      </c>
      <c r="E1411" s="623"/>
      <c r="F1411" s="472">
        <f t="shared" si="476"/>
        <v>0</v>
      </c>
      <c r="G1411" s="472">
        <f t="shared" si="477"/>
        <v>0</v>
      </c>
    </row>
    <row r="1412" spans="1:7" ht="19.899999999999999" customHeight="1">
      <c r="A1412" s="515">
        <f t="shared" si="473"/>
        <v>0</v>
      </c>
      <c r="B1412" s="478">
        <f t="shared" si="474"/>
        <v>0</v>
      </c>
      <c r="C1412" s="478"/>
      <c r="D1412" s="526">
        <f t="shared" si="475"/>
        <v>0</v>
      </c>
      <c r="E1412" s="470"/>
      <c r="F1412" s="472">
        <f t="shared" si="476"/>
        <v>0</v>
      </c>
      <c r="G1412" s="472">
        <f t="shared" si="477"/>
        <v>0</v>
      </c>
    </row>
    <row r="1413" spans="1:7" ht="19.899999999999999" customHeight="1">
      <c r="A1413" s="515">
        <f t="shared" si="473"/>
        <v>0</v>
      </c>
      <c r="B1413" s="478">
        <f t="shared" si="474"/>
        <v>0</v>
      </c>
      <c r="C1413" s="478"/>
      <c r="D1413" s="526">
        <f t="shared" si="475"/>
        <v>0</v>
      </c>
      <c r="E1413" s="470"/>
      <c r="F1413" s="472">
        <f t="shared" si="476"/>
        <v>0</v>
      </c>
      <c r="G1413" s="472">
        <f t="shared" si="477"/>
        <v>0</v>
      </c>
    </row>
    <row r="1414" spans="1:7" ht="19.899999999999999" customHeight="1">
      <c r="A1414" s="515">
        <f t="shared" ref="A1414" si="478">IFERROR(VLOOKUP(C1414,T_Insumos,4,FALSE),0)</f>
        <v>0</v>
      </c>
      <c r="B1414" s="478">
        <f t="shared" ref="B1414" si="479">IFERROR(VLOOKUP(C1414,T_Insumos,5,FALSE),0)</f>
        <v>0</v>
      </c>
      <c r="C1414" s="478"/>
      <c r="D1414" s="526">
        <f t="shared" ref="D1414" si="480">IFERROR(VLOOKUP(C1414,T_Insumos,2,FALSE),0)</f>
        <v>0</v>
      </c>
      <c r="E1414" s="470"/>
      <c r="F1414" s="472">
        <f t="shared" ref="F1414" si="481">IFERROR(VLOOKUP(C1414,T_Insumos,3,FALSE),0)</f>
        <v>0</v>
      </c>
      <c r="G1414" s="472">
        <f t="shared" si="477"/>
        <v>0</v>
      </c>
    </row>
    <row r="1415" spans="1:7" ht="19.899999999999999" customHeight="1">
      <c r="A1415" s="513"/>
      <c r="B1415" s="163"/>
      <c r="C1415" s="163"/>
      <c r="D1415" s="459"/>
      <c r="E1415" s="460"/>
      <c r="F1415" s="481" t="s">
        <v>28</v>
      </c>
      <c r="G1415" s="518">
        <f>SUBTOTAL(9,G1404:G1414)</f>
        <v>0</v>
      </c>
    </row>
    <row r="1416" spans="1:7" ht="19.899999999999999" customHeight="1">
      <c r="A1416" s="513"/>
      <c r="B1416" s="163"/>
      <c r="C1416" s="455" t="s">
        <v>1014</v>
      </c>
      <c r="D1416" s="459"/>
      <c r="E1416" s="460"/>
      <c r="F1416" s="461"/>
      <c r="G1416" s="514"/>
    </row>
    <row r="1417" spans="1:7" ht="19.899999999999999" customHeight="1">
      <c r="A1417" s="677" t="s">
        <v>575</v>
      </c>
      <c r="B1417" s="678"/>
      <c r="C1417" s="679" t="s">
        <v>0</v>
      </c>
      <c r="D1417" s="679" t="s">
        <v>1865</v>
      </c>
      <c r="E1417" s="681" t="s">
        <v>23</v>
      </c>
      <c r="F1417" s="683" t="s">
        <v>24</v>
      </c>
      <c r="G1417" s="685" t="s">
        <v>25</v>
      </c>
    </row>
    <row r="1418" spans="1:7" ht="19.899999999999999" customHeight="1">
      <c r="A1418" s="477" t="s">
        <v>576</v>
      </c>
      <c r="B1418" s="477" t="s">
        <v>577</v>
      </c>
      <c r="C1418" s="680"/>
      <c r="D1418" s="680"/>
      <c r="E1418" s="682"/>
      <c r="F1418" s="684"/>
      <c r="G1418" s="686"/>
    </row>
    <row r="1419" spans="1:7" ht="19.899999999999999" customHeight="1">
      <c r="A1419" s="515">
        <f>IFERROR(VLOOKUP(C1419,T_Insumos,4,FALSE),0)</f>
        <v>0</v>
      </c>
      <c r="B1419" s="478">
        <f>IFERROR(VLOOKUP(C1419,T_Insumos,5,FALSE),0)</f>
        <v>0</v>
      </c>
      <c r="C1419" s="469"/>
      <c r="D1419" s="526">
        <f>IF(C1419=0,0,"$/tnkm")</f>
        <v>0</v>
      </c>
      <c r="E1419" s="470"/>
      <c r="F1419" s="472">
        <f>IFERROR(VLOOKUP(C1419,T_Insumos,3,FALSE),0)</f>
        <v>0</v>
      </c>
      <c r="G1419" s="472">
        <f>ROUND(E1419*F1419,2)</f>
        <v>0</v>
      </c>
    </row>
    <row r="1420" spans="1:7" ht="19.899999999999999" customHeight="1">
      <c r="A1420" s="515">
        <f>IFERROR(VLOOKUP(C1420,T_Insumos,4,FALSE),0)</f>
        <v>0</v>
      </c>
      <c r="B1420" s="478">
        <f>IFERROR(VLOOKUP(C1420,T_Insumos,5,FALSE),0)</f>
        <v>0</v>
      </c>
      <c r="C1420" s="469"/>
      <c r="D1420" s="526">
        <f>IF(C1420=0,0,"$/tnkm")</f>
        <v>0</v>
      </c>
      <c r="E1420" s="486"/>
      <c r="F1420" s="472">
        <f>IFERROR(VLOOKUP(C1420,T_Insumos,3,FALSE),0)</f>
        <v>0</v>
      </c>
      <c r="G1420" s="472">
        <f t="shared" ref="G1420" si="482">ROUND(E1420*F1420,2)</f>
        <v>0</v>
      </c>
    </row>
    <row r="1421" spans="1:7" ht="19.899999999999999" customHeight="1">
      <c r="A1421" s="513"/>
      <c r="B1421" s="163"/>
      <c r="C1421" s="163"/>
      <c r="D1421" s="459"/>
      <c r="E1421" s="460"/>
      <c r="F1421" s="481" t="s">
        <v>1015</v>
      </c>
      <c r="G1421" s="518">
        <f>SUBTOTAL(9,G1419:G1420)</f>
        <v>0</v>
      </c>
    </row>
    <row r="1422" spans="1:7" ht="19.899999999999999" customHeight="1">
      <c r="A1422" s="516"/>
      <c r="B1422" s="459"/>
      <c r="C1422" s="163"/>
      <c r="D1422" s="459"/>
      <c r="E1422" s="460"/>
      <c r="F1422" s="461"/>
      <c r="G1422" s="514"/>
    </row>
    <row r="1423" spans="1:7" ht="19.899999999999999" customHeight="1">
      <c r="A1423" s="574" t="str">
        <f>B1357</f>
        <v>5.1.4</v>
      </c>
      <c r="B1423" s="571" t="str">
        <f ca="1">C1357</f>
        <v>Relleno y compactación</v>
      </c>
      <c r="C1423" s="459"/>
      <c r="D1423" s="459" t="s">
        <v>1831</v>
      </c>
      <c r="E1423" s="572"/>
      <c r="F1423" s="573" t="str">
        <f ca="1">"$/"&amp;G1357</f>
        <v>$/m3</v>
      </c>
      <c r="G1423" s="523">
        <f>SUBTOTAL(9,G1380:G1422)</f>
        <v>0</v>
      </c>
    </row>
    <row r="1424" spans="1:7" ht="19.899999999999999" customHeight="1">
      <c r="A1424" s="519"/>
      <c r="B1424" s="520"/>
      <c r="C1424" s="521"/>
      <c r="D1424" s="521" t="s">
        <v>2041</v>
      </c>
      <c r="E1424" s="522"/>
      <c r="F1424" s="575" t="str">
        <f ca="1">"$/"&amp;G1357</f>
        <v>$/m3</v>
      </c>
      <c r="G1424" s="523">
        <f>ROUND(G1423*Coeficiente_Paso,2)</f>
        <v>0</v>
      </c>
    </row>
    <row r="1425" spans="1:7" ht="19.899999999999999" customHeight="1">
      <c r="A1425" s="163"/>
      <c r="B1425" s="163"/>
      <c r="C1425" s="163"/>
      <c r="D1425" s="163"/>
      <c r="E1425" s="163"/>
      <c r="F1425" s="163"/>
      <c r="G1425" s="163"/>
    </row>
    <row r="1426" spans="1:7" ht="19.899999999999999" customHeight="1">
      <c r="A1426" s="687" t="s">
        <v>30</v>
      </c>
      <c r="B1426" s="688"/>
      <c r="C1426" s="688"/>
      <c r="D1426" s="688"/>
      <c r="E1426" s="688"/>
      <c r="F1426" s="688"/>
      <c r="G1426" s="689"/>
    </row>
    <row r="1427" spans="1:7" ht="19.899999999999999" customHeight="1">
      <c r="A1427" s="502" t="s">
        <v>710</v>
      </c>
      <c r="B1427" s="453" t="str">
        <f>Comitente</f>
        <v>DEPARTAMENTO DE HIDRAULICA</v>
      </c>
      <c r="C1427" s="454"/>
      <c r="D1427" s="455"/>
      <c r="E1427" s="455"/>
      <c r="F1427" s="456"/>
      <c r="G1427" s="503"/>
    </row>
    <row r="1428" spans="1:7" ht="19.899999999999999" customHeight="1">
      <c r="A1428" s="502" t="s">
        <v>711</v>
      </c>
      <c r="B1428" s="453">
        <f>Contratista</f>
        <v>0</v>
      </c>
      <c r="C1428" s="457"/>
      <c r="D1428" s="457"/>
      <c r="E1428" s="457"/>
      <c r="F1428" s="453"/>
      <c r="G1428" s="504"/>
    </row>
    <row r="1429" spans="1:7" ht="19.899999999999999" customHeight="1">
      <c r="A1429" s="502" t="s">
        <v>20</v>
      </c>
      <c r="B1429" s="453" t="str">
        <f>Obra</f>
        <v>MEJORA DE LA RED DE RIEGO DEL VALLE DE JÁCHAL</v>
      </c>
      <c r="C1429" s="457"/>
      <c r="D1429" s="457"/>
      <c r="E1429" s="457"/>
      <c r="F1429" s="453" t="s">
        <v>31</v>
      </c>
      <c r="G1429" s="504" t="str">
        <f>Fecha_Base</f>
        <v>XX/07/2020</v>
      </c>
    </row>
    <row r="1430" spans="1:7" ht="19.899999999999999" customHeight="1">
      <c r="A1430" s="505" t="s">
        <v>709</v>
      </c>
      <c r="B1430" s="458" t="str">
        <f>Ubicación</f>
        <v>JACHAL</v>
      </c>
      <c r="C1430" s="458"/>
      <c r="D1430" s="459"/>
      <c r="E1430" s="460"/>
      <c r="F1430" s="461"/>
      <c r="G1430" s="506"/>
    </row>
    <row r="1431" spans="1:7" ht="19.899999999999999" customHeight="1">
      <c r="A1431" s="505" t="s">
        <v>32</v>
      </c>
      <c r="B1431" s="462">
        <f>IFERROR(VALUE(LEFT(B1432,FIND(".",B1432)-1)),"")</f>
        <v>5</v>
      </c>
      <c r="C1431" s="163" t="str">
        <f ca="1">IFERROR(VLOOKUP(B1431,T_Computo_Presupuesto,2,FALSE),0)</f>
        <v>CANAL MATRIZ</v>
      </c>
      <c r="D1431" s="163"/>
      <c r="E1431" s="460"/>
      <c r="F1431" s="461"/>
      <c r="G1431" s="506"/>
    </row>
    <row r="1432" spans="1:7" ht="19.899999999999999" customHeight="1">
      <c r="A1432" s="505" t="s">
        <v>21</v>
      </c>
      <c r="B1432" s="463" t="str">
        <f>IFERROR(VLOOKUP(COUNTIF($A$1:A1432,"ANALISIS DE PRECIOS"),T_NumeroItem,2,FALSE),"")</f>
        <v>5.1.5</v>
      </c>
      <c r="C1432" s="690" t="str">
        <f ca="1">IFERROR(VLOOKUP(B1432,T_Computo_Presupuesto,2,FALSE),0)</f>
        <v>Hormigón H20</v>
      </c>
      <c r="D1432" s="690"/>
      <c r="E1432" s="690"/>
      <c r="F1432" s="458" t="s">
        <v>22</v>
      </c>
      <c r="G1432" s="507" t="str">
        <f ca="1">IFERROR(VLOOKUP(B1432,T_Computo_Presupuesto,4,FALSE),0)</f>
        <v>m3</v>
      </c>
    </row>
    <row r="1433" spans="1:7" ht="19.899999999999999" customHeight="1">
      <c r="A1433" s="505"/>
      <c r="B1433" s="458"/>
      <c r="C1433" s="163"/>
      <c r="D1433" s="459"/>
      <c r="E1433" s="460"/>
      <c r="F1433" s="163"/>
      <c r="G1433" s="508"/>
    </row>
    <row r="1434" spans="1:7" ht="19.899999999999999" customHeight="1">
      <c r="A1434" s="509"/>
      <c r="B1434" s="464"/>
      <c r="C1434" s="465" t="s">
        <v>998</v>
      </c>
      <c r="D1434" s="464"/>
      <c r="E1434" s="464"/>
      <c r="F1434" s="464"/>
      <c r="G1434" s="510"/>
    </row>
    <row r="1435" spans="1:7" ht="19.899999999999999" customHeight="1">
      <c r="A1435" s="505"/>
      <c r="B1435" s="466"/>
      <c r="C1435" s="163"/>
      <c r="D1435" s="459"/>
      <c r="E1435" s="460"/>
      <c r="F1435" s="458"/>
      <c r="G1435" s="507"/>
    </row>
    <row r="1436" spans="1:7" ht="19.899999999999999" customHeight="1">
      <c r="A1436" s="505"/>
      <c r="B1436" s="466"/>
      <c r="C1436" s="467" t="s">
        <v>999</v>
      </c>
      <c r="D1436" s="468" t="s">
        <v>23</v>
      </c>
      <c r="E1436" s="468" t="s">
        <v>1000</v>
      </c>
      <c r="F1436" s="468" t="s">
        <v>1001</v>
      </c>
      <c r="G1436" s="467" t="s">
        <v>1002</v>
      </c>
    </row>
    <row r="1437" spans="1:7" ht="19.899999999999999" customHeight="1">
      <c r="A1437" s="505"/>
      <c r="B1437" s="466"/>
      <c r="C1437" s="469"/>
      <c r="D1437" s="470"/>
      <c r="E1437" s="471">
        <f t="shared" ref="E1437:E1445" si="483">IFERROR(VLOOKUP(C1437,T_Equipos,4,FALSE),0)</f>
        <v>0</v>
      </c>
      <c r="F1437" s="472">
        <f t="shared" ref="F1437:F1445" si="484">IFERROR(VLOOKUP(C1437,T_Equipos,5,FALSE),0)</f>
        <v>0</v>
      </c>
      <c r="G1437" s="472">
        <f>ROUND(D1437*F1437,2)</f>
        <v>0</v>
      </c>
    </row>
    <row r="1438" spans="1:7" ht="19.899999999999999" customHeight="1">
      <c r="A1438" s="505"/>
      <c r="B1438" s="466"/>
      <c r="C1438" s="469"/>
      <c r="D1438" s="470"/>
      <c r="E1438" s="471">
        <f t="shared" si="483"/>
        <v>0</v>
      </c>
      <c r="F1438" s="472">
        <f t="shared" si="484"/>
        <v>0</v>
      </c>
      <c r="G1438" s="472">
        <f>ROUND(D1438*F1438,2)</f>
        <v>0</v>
      </c>
    </row>
    <row r="1439" spans="1:7" ht="19.899999999999999" customHeight="1">
      <c r="A1439" s="505"/>
      <c r="B1439" s="466"/>
      <c r="C1439" s="469"/>
      <c r="D1439" s="470"/>
      <c r="E1439" s="471">
        <f t="shared" si="483"/>
        <v>0</v>
      </c>
      <c r="F1439" s="472">
        <f t="shared" si="484"/>
        <v>0</v>
      </c>
      <c r="G1439" s="472">
        <f>ROUND(D1439*F1439,2)</f>
        <v>0</v>
      </c>
    </row>
    <row r="1440" spans="1:7" ht="19.899999999999999" customHeight="1">
      <c r="A1440" s="505"/>
      <c r="B1440" s="466"/>
      <c r="C1440" s="469"/>
      <c r="D1440" s="470"/>
      <c r="E1440" s="471">
        <f t="shared" si="483"/>
        <v>0</v>
      </c>
      <c r="F1440" s="472">
        <f t="shared" si="484"/>
        <v>0</v>
      </c>
      <c r="G1440" s="472">
        <f>ROUND(D1440*F1440,2)</f>
        <v>0</v>
      </c>
    </row>
    <row r="1441" spans="1:7" ht="19.899999999999999" customHeight="1">
      <c r="A1441" s="505"/>
      <c r="B1441" s="466"/>
      <c r="C1441" s="469"/>
      <c r="D1441" s="470"/>
      <c r="E1441" s="471">
        <f t="shared" si="483"/>
        <v>0</v>
      </c>
      <c r="F1441" s="472">
        <f t="shared" si="484"/>
        <v>0</v>
      </c>
      <c r="G1441" s="472">
        <f t="shared" ref="G1441:G1446" si="485">ROUND(D1441*F1441,2)</f>
        <v>0</v>
      </c>
    </row>
    <row r="1442" spans="1:7" ht="19.899999999999999" customHeight="1">
      <c r="A1442" s="505"/>
      <c r="B1442" s="466"/>
      <c r="C1442" s="469"/>
      <c r="D1442" s="470"/>
      <c r="E1442" s="471">
        <f t="shared" si="483"/>
        <v>0</v>
      </c>
      <c r="F1442" s="472">
        <f t="shared" si="484"/>
        <v>0</v>
      </c>
      <c r="G1442" s="472">
        <f t="shared" si="485"/>
        <v>0</v>
      </c>
    </row>
    <row r="1443" spans="1:7" ht="19.899999999999999" customHeight="1">
      <c r="A1443" s="505"/>
      <c r="B1443" s="466"/>
      <c r="C1443" s="469"/>
      <c r="D1443" s="470"/>
      <c r="E1443" s="471">
        <f t="shared" si="483"/>
        <v>0</v>
      </c>
      <c r="F1443" s="472">
        <f t="shared" si="484"/>
        <v>0</v>
      </c>
      <c r="G1443" s="472">
        <f t="shared" si="485"/>
        <v>0</v>
      </c>
    </row>
    <row r="1444" spans="1:7" ht="19.899999999999999" customHeight="1">
      <c r="A1444" s="505"/>
      <c r="B1444" s="466"/>
      <c r="C1444" s="469"/>
      <c r="D1444" s="470"/>
      <c r="E1444" s="471">
        <f t="shared" si="483"/>
        <v>0</v>
      </c>
      <c r="F1444" s="472">
        <f t="shared" si="484"/>
        <v>0</v>
      </c>
      <c r="G1444" s="472">
        <f t="shared" si="485"/>
        <v>0</v>
      </c>
    </row>
    <row r="1445" spans="1:7" ht="19.899999999999999" customHeight="1">
      <c r="A1445" s="505"/>
      <c r="B1445" s="466"/>
      <c r="C1445" s="469"/>
      <c r="D1445" s="470"/>
      <c r="E1445" s="471">
        <f t="shared" si="483"/>
        <v>0</v>
      </c>
      <c r="F1445" s="472">
        <f t="shared" si="484"/>
        <v>0</v>
      </c>
      <c r="G1445" s="472">
        <f t="shared" si="485"/>
        <v>0</v>
      </c>
    </row>
    <row r="1446" spans="1:7" ht="19.899999999999999" customHeight="1">
      <c r="A1446" s="505"/>
      <c r="B1446" s="466"/>
      <c r="C1446" s="469"/>
      <c r="D1446" s="470"/>
      <c r="E1446" s="471">
        <f t="shared" ref="E1446" si="486">IFERROR(VLOOKUP(C1446,T_Equipos,4,FALSE),0)</f>
        <v>0</v>
      </c>
      <c r="F1446" s="472">
        <f t="shared" ref="F1446" si="487">IFERROR(VLOOKUP(C1446,T_Equipos,5,FALSE),0)</f>
        <v>0</v>
      </c>
      <c r="G1446" s="472">
        <f t="shared" si="485"/>
        <v>0</v>
      </c>
    </row>
    <row r="1447" spans="1:7" ht="19.899999999999999" customHeight="1">
      <c r="A1447" s="505"/>
      <c r="B1447" s="466"/>
      <c r="C1447" s="163"/>
      <c r="D1447" s="163"/>
      <c r="E1447" s="473"/>
      <c r="F1447" s="458"/>
      <c r="G1447" s="507"/>
    </row>
    <row r="1448" spans="1:7" ht="19.899999999999999" customHeight="1">
      <c r="A1448" s="505"/>
      <c r="B1448" s="163"/>
      <c r="C1448" s="455" t="s">
        <v>1003</v>
      </c>
      <c r="D1448" s="458" t="s">
        <v>1000</v>
      </c>
      <c r="E1448" s="524">
        <f>SUMPRODUCT(D1437:D1446,E1437:E1446)</f>
        <v>0</v>
      </c>
      <c r="F1448" s="458" t="s">
        <v>1004</v>
      </c>
      <c r="G1448" s="525">
        <f>SUM(G1437:G1446)</f>
        <v>0</v>
      </c>
    </row>
    <row r="1449" spans="1:7" ht="19.899999999999999" customHeight="1">
      <c r="A1449" s="505"/>
      <c r="B1449" s="466"/>
      <c r="C1449" s="474"/>
      <c r="D1449" s="473"/>
      <c r="E1449" s="460"/>
      <c r="F1449" s="458"/>
      <c r="G1449" s="511"/>
    </row>
    <row r="1450" spans="1:7" ht="19.899999999999999" customHeight="1">
      <c r="A1450" s="512"/>
      <c r="B1450" s="466"/>
      <c r="C1450" s="458" t="s">
        <v>1005</v>
      </c>
      <c r="D1450" s="475"/>
      <c r="E1450" s="476" t="str">
        <f ca="1">G1432&amp;"/día"</f>
        <v>m3/día</v>
      </c>
      <c r="F1450" s="452"/>
      <c r="G1450" s="507"/>
    </row>
    <row r="1451" spans="1:7" ht="19.899999999999999" customHeight="1">
      <c r="A1451" s="505"/>
      <c r="B1451" s="466"/>
      <c r="C1451" s="163"/>
      <c r="D1451" s="459"/>
      <c r="E1451" s="460"/>
      <c r="F1451" s="458"/>
      <c r="G1451" s="507"/>
    </row>
    <row r="1452" spans="1:7" ht="19.899999999999999" customHeight="1">
      <c r="A1452" s="677" t="s">
        <v>575</v>
      </c>
      <c r="B1452" s="678"/>
      <c r="C1452" s="679" t="s">
        <v>0</v>
      </c>
      <c r="D1452" s="691" t="s">
        <v>1864</v>
      </c>
      <c r="E1452" s="691" t="s">
        <v>1863</v>
      </c>
      <c r="F1452" s="683" t="s">
        <v>1006</v>
      </c>
      <c r="G1452" s="685" t="s">
        <v>25</v>
      </c>
    </row>
    <row r="1453" spans="1:7" ht="19.899999999999999" customHeight="1">
      <c r="A1453" s="477" t="s">
        <v>576</v>
      </c>
      <c r="B1453" s="477" t="s">
        <v>577</v>
      </c>
      <c r="C1453" s="680"/>
      <c r="D1453" s="692"/>
      <c r="E1453" s="682"/>
      <c r="F1453" s="684"/>
      <c r="G1453" s="686"/>
    </row>
    <row r="1454" spans="1:7" ht="19.899999999999999" customHeight="1">
      <c r="A1454" s="513"/>
      <c r="B1454" s="163"/>
      <c r="C1454" s="455" t="s">
        <v>1007</v>
      </c>
      <c r="D1454" s="460"/>
      <c r="E1454" s="460"/>
      <c r="F1454" s="163"/>
      <c r="G1454" s="514"/>
    </row>
    <row r="1455" spans="1:7" ht="19.899999999999999" customHeight="1">
      <c r="A1455" s="515">
        <f t="shared" ref="A1455:A1462" si="488">IFERROR(VLOOKUP(C1455,T_Insumos,4,FALSE),0)</f>
        <v>0</v>
      </c>
      <c r="B1455" s="478">
        <f t="shared" ref="B1455:B1462" si="489">IFERROR(VLOOKUP(C1455,T_Insumos,5,FALSE),0)</f>
        <v>0</v>
      </c>
      <c r="C1455" s="469"/>
      <c r="D1455" s="479">
        <f t="shared" ref="D1455:D1462" si="490">IFERROR(VLOOKUP(C1455,T_Insumos,3,FALSE),0)</f>
        <v>0</v>
      </c>
      <c r="E1455" s="472">
        <f>D1455*$G$1448</f>
        <v>0</v>
      </c>
      <c r="F1455" s="475">
        <f>IF(C1455="",0,IFERROR(VLOOKUP(COUNTIF($A$1:A1455,"ANALISIS DE PRECIOS"),T_Rendimiento_Equipo,5,FALSE),0))</f>
        <v>0</v>
      </c>
      <c r="G1455" s="472">
        <f>IFERROR(ROUND(E1455/F1455,2),0)</f>
        <v>0</v>
      </c>
    </row>
    <row r="1456" spans="1:7" ht="19.899999999999999" customHeight="1">
      <c r="A1456" s="515">
        <f t="shared" si="488"/>
        <v>0</v>
      </c>
      <c r="B1456" s="478">
        <f t="shared" si="489"/>
        <v>0</v>
      </c>
      <c r="C1456" s="469"/>
      <c r="D1456" s="479">
        <f t="shared" si="490"/>
        <v>0</v>
      </c>
      <c r="E1456" s="472">
        <f t="shared" ref="E1456:E1463" si="491">D1456*$G$1448</f>
        <v>0</v>
      </c>
      <c r="F1456" s="475">
        <f>IF(C1456="",0,IFERROR(VLOOKUP(COUNTIF($A$1:A1456,"ANALISIS DE PRECIOS"),T_Rendimiento_Equipo,5,FALSE),0))</f>
        <v>0</v>
      </c>
      <c r="G1456" s="472">
        <f t="shared" ref="G1456:G1463" si="492">IFERROR(ROUND(E1456/F1456,2),0)</f>
        <v>0</v>
      </c>
    </row>
    <row r="1457" spans="1:7" ht="19.899999999999999" customHeight="1">
      <c r="A1457" s="515">
        <f t="shared" si="488"/>
        <v>0</v>
      </c>
      <c r="B1457" s="478">
        <f t="shared" si="489"/>
        <v>0</v>
      </c>
      <c r="C1457" s="480"/>
      <c r="D1457" s="479">
        <f t="shared" si="490"/>
        <v>0</v>
      </c>
      <c r="E1457" s="472">
        <f t="shared" si="491"/>
        <v>0</v>
      </c>
      <c r="F1457" s="475">
        <f>IF(C1457="",0,IFERROR(VLOOKUP(COUNTIF($A$1:A1457,"ANALISIS DE PRECIOS"),T_Rendimiento_Equipo,5,FALSE),0))</f>
        <v>0</v>
      </c>
      <c r="G1457" s="472">
        <f t="shared" si="492"/>
        <v>0</v>
      </c>
    </row>
    <row r="1458" spans="1:7" ht="19.899999999999999" customHeight="1">
      <c r="A1458" s="515">
        <f t="shared" si="488"/>
        <v>0</v>
      </c>
      <c r="B1458" s="478">
        <f t="shared" si="489"/>
        <v>0</v>
      </c>
      <c r="C1458" s="480"/>
      <c r="D1458" s="479">
        <f t="shared" si="490"/>
        <v>0</v>
      </c>
      <c r="E1458" s="472">
        <f t="shared" si="491"/>
        <v>0</v>
      </c>
      <c r="F1458" s="475">
        <f>IF(C1458="",0,IFERROR(VLOOKUP(COUNTIF($A$1:A1458,"ANALISIS DE PRECIOS"),T_Rendimiento_Equipo,5,FALSE),0))</f>
        <v>0</v>
      </c>
      <c r="G1458" s="472">
        <f t="shared" si="492"/>
        <v>0</v>
      </c>
    </row>
    <row r="1459" spans="1:7" ht="19.899999999999999" customHeight="1">
      <c r="A1459" s="515">
        <f t="shared" si="488"/>
        <v>0</v>
      </c>
      <c r="B1459" s="478">
        <f t="shared" si="489"/>
        <v>0</v>
      </c>
      <c r="C1459" s="480"/>
      <c r="D1459" s="479">
        <f t="shared" si="490"/>
        <v>0</v>
      </c>
      <c r="E1459" s="472">
        <f t="shared" si="491"/>
        <v>0</v>
      </c>
      <c r="F1459" s="475">
        <f>IF(C1459="",0,IFERROR(VLOOKUP(COUNTIF($A$1:A1459,"ANALISIS DE PRECIOS"),T_Rendimiento_Equipo,5,FALSE),0))</f>
        <v>0</v>
      </c>
      <c r="G1459" s="472">
        <f t="shared" si="492"/>
        <v>0</v>
      </c>
    </row>
    <row r="1460" spans="1:7" ht="19.899999999999999" customHeight="1">
      <c r="A1460" s="515">
        <f t="shared" si="488"/>
        <v>0</v>
      </c>
      <c r="B1460" s="478">
        <f t="shared" si="489"/>
        <v>0</v>
      </c>
      <c r="C1460" s="480"/>
      <c r="D1460" s="479">
        <f t="shared" si="490"/>
        <v>0</v>
      </c>
      <c r="E1460" s="472">
        <f t="shared" si="491"/>
        <v>0</v>
      </c>
      <c r="F1460" s="475">
        <f>IF(C1460="",0,IFERROR(VLOOKUP(COUNTIF($A$1:A1460,"ANALISIS DE PRECIOS"),T_Rendimiento_Equipo,5,FALSE),0))</f>
        <v>0</v>
      </c>
      <c r="G1460" s="472">
        <f t="shared" si="492"/>
        <v>0</v>
      </c>
    </row>
    <row r="1461" spans="1:7" ht="19.899999999999999" customHeight="1">
      <c r="A1461" s="515">
        <f t="shared" si="488"/>
        <v>0</v>
      </c>
      <c r="B1461" s="478">
        <f t="shared" si="489"/>
        <v>0</v>
      </c>
      <c r="C1461" s="480"/>
      <c r="D1461" s="479">
        <f t="shared" si="490"/>
        <v>0</v>
      </c>
      <c r="E1461" s="472">
        <f t="shared" si="491"/>
        <v>0</v>
      </c>
      <c r="F1461" s="475">
        <f>IF(C1461="",0,IFERROR(VLOOKUP(COUNTIF($A$1:A1461,"ANALISIS DE PRECIOS"),T_Rendimiento_Equipo,5,FALSE),0))</f>
        <v>0</v>
      </c>
      <c r="G1461" s="472">
        <f t="shared" si="492"/>
        <v>0</v>
      </c>
    </row>
    <row r="1462" spans="1:7" ht="19.899999999999999" customHeight="1">
      <c r="A1462" s="515">
        <f t="shared" si="488"/>
        <v>0</v>
      </c>
      <c r="B1462" s="478">
        <f t="shared" si="489"/>
        <v>0</v>
      </c>
      <c r="C1462" s="480"/>
      <c r="D1462" s="479">
        <f t="shared" si="490"/>
        <v>0</v>
      </c>
      <c r="E1462" s="472">
        <f t="shared" si="491"/>
        <v>0</v>
      </c>
      <c r="F1462" s="475">
        <f>IF(C1462="",0,IFERROR(VLOOKUP(COUNTIF($A$1:A1462,"ANALISIS DE PRECIOS"),T_Rendimiento_Equipo,5,FALSE),0))</f>
        <v>0</v>
      </c>
      <c r="G1462" s="472">
        <f t="shared" si="492"/>
        <v>0</v>
      </c>
    </row>
    <row r="1463" spans="1:7" ht="19.899999999999999" customHeight="1">
      <c r="A1463" s="515">
        <f t="shared" ref="A1463" si="493">IFERROR(VLOOKUP(C1463,T_Insumos,4,FALSE),0)</f>
        <v>0</v>
      </c>
      <c r="B1463" s="478">
        <f t="shared" ref="B1463" si="494">IFERROR(VLOOKUP(C1463,T_Insumos,5,FALSE),0)</f>
        <v>0</v>
      </c>
      <c r="C1463" s="469"/>
      <c r="D1463" s="479">
        <f t="shared" ref="D1463" si="495">IFERROR(VLOOKUP(C1463,T_Insumos,3,FALSE),0)</f>
        <v>0</v>
      </c>
      <c r="E1463" s="472">
        <f t="shared" si="491"/>
        <v>0</v>
      </c>
      <c r="F1463" s="475">
        <f>IF(C1463="",0,IFERROR(VLOOKUP(COUNTIF($A$1:A1463,"ANALISIS DE PRECIOS"),T_Rendimiento_Equipo,5,FALSE),0))</f>
        <v>0</v>
      </c>
      <c r="G1463" s="472">
        <f t="shared" si="492"/>
        <v>0</v>
      </c>
    </row>
    <row r="1464" spans="1:7" ht="19.899999999999999" customHeight="1">
      <c r="A1464" s="516"/>
      <c r="B1464" s="459"/>
      <c r="C1464" s="163"/>
      <c r="D1464" s="459"/>
      <c r="E1464" s="460"/>
      <c r="F1464" s="481" t="s">
        <v>26</v>
      </c>
      <c r="G1464" s="517">
        <f>SUBTOTAL(9,G1455:G1463)</f>
        <v>0</v>
      </c>
    </row>
    <row r="1465" spans="1:7" ht="19.899999999999999" customHeight="1">
      <c r="A1465" s="513"/>
      <c r="B1465" s="163"/>
      <c r="C1465" s="455" t="s">
        <v>712</v>
      </c>
      <c r="D1465" s="459"/>
      <c r="E1465" s="460"/>
      <c r="F1465" s="461"/>
      <c r="G1465" s="514"/>
    </row>
    <row r="1466" spans="1:7" ht="19.899999999999999" customHeight="1">
      <c r="A1466" s="677" t="s">
        <v>575</v>
      </c>
      <c r="B1466" s="678"/>
      <c r="C1466" s="679" t="s">
        <v>0</v>
      </c>
      <c r="D1466" s="681" t="s">
        <v>23</v>
      </c>
      <c r="E1466" s="681" t="s">
        <v>1830</v>
      </c>
      <c r="F1466" s="683" t="s">
        <v>1006</v>
      </c>
      <c r="G1466" s="685" t="s">
        <v>25</v>
      </c>
    </row>
    <row r="1467" spans="1:7" ht="19.899999999999999" customHeight="1">
      <c r="A1467" s="477" t="s">
        <v>576</v>
      </c>
      <c r="B1467" s="477" t="s">
        <v>577</v>
      </c>
      <c r="C1467" s="680"/>
      <c r="D1467" s="682"/>
      <c r="E1467" s="682"/>
      <c r="F1467" s="684"/>
      <c r="G1467" s="686"/>
    </row>
    <row r="1468" spans="1:7" ht="19.899999999999999" customHeight="1">
      <c r="A1468" s="515">
        <f t="shared" ref="A1468:A1473" si="496">IFERROR(VLOOKUP(C1468,T_Insumos,4,FALSE),0)</f>
        <v>0</v>
      </c>
      <c r="B1468" s="478">
        <f t="shared" ref="B1468:B1473" si="497">IFERROR(VLOOKUP(C1468,T_Insumos,5,FALSE),0)</f>
        <v>0</v>
      </c>
      <c r="C1468" s="482"/>
      <c r="D1468" s="475"/>
      <c r="E1468" s="472">
        <f t="shared" ref="E1468:E1473" si="498">IFERROR(VLOOKUP(C1468,T_Insumos,3,FALSE),0)</f>
        <v>0</v>
      </c>
      <c r="F1468" s="475">
        <f>IF(C1468="",0,IFERROR(VLOOKUP(COUNTIF($A$1:A1468,"ANALISIS DE PRECIOS"),T_Rendimiento_Equipo,5,FALSE),0))</f>
        <v>0</v>
      </c>
      <c r="G1468" s="472">
        <f>IFERROR(ROUND(D1468*E1468/F1468,2),0)</f>
        <v>0</v>
      </c>
    </row>
    <row r="1469" spans="1:7" ht="19.899999999999999" customHeight="1">
      <c r="A1469" s="515">
        <f t="shared" si="496"/>
        <v>0</v>
      </c>
      <c r="B1469" s="478">
        <f t="shared" si="497"/>
        <v>0</v>
      </c>
      <c r="C1469" s="469"/>
      <c r="D1469" s="475"/>
      <c r="E1469" s="472">
        <f t="shared" si="498"/>
        <v>0</v>
      </c>
      <c r="F1469" s="475">
        <f>IF(C1469="",0,IFERROR(VLOOKUP(COUNTIF($A$1:A1469,"ANALISIS DE PRECIOS"),T_Rendimiento_Equipo,5,FALSE),0))</f>
        <v>0</v>
      </c>
      <c r="G1469" s="472">
        <f t="shared" ref="G1469:G1474" si="499">IFERROR(ROUND(D1469*E1469/F1469,2),0)</f>
        <v>0</v>
      </c>
    </row>
    <row r="1470" spans="1:7" ht="19.899999999999999" customHeight="1">
      <c r="A1470" s="515">
        <f t="shared" si="496"/>
        <v>0</v>
      </c>
      <c r="B1470" s="478">
        <f t="shared" si="497"/>
        <v>0</v>
      </c>
      <c r="C1470" s="469"/>
      <c r="D1470" s="475"/>
      <c r="E1470" s="472">
        <f t="shared" si="498"/>
        <v>0</v>
      </c>
      <c r="F1470" s="475">
        <f>IF(C1470="",0,IFERROR(VLOOKUP(COUNTIF($A$1:A1470,"ANALISIS DE PRECIOS"),T_Rendimiento_Equipo,5,FALSE),0))</f>
        <v>0</v>
      </c>
      <c r="G1470" s="472">
        <f t="shared" si="499"/>
        <v>0</v>
      </c>
    </row>
    <row r="1471" spans="1:7" ht="19.899999999999999" customHeight="1">
      <c r="A1471" s="515">
        <f t="shared" si="496"/>
        <v>0</v>
      </c>
      <c r="B1471" s="478">
        <f t="shared" si="497"/>
        <v>0</v>
      </c>
      <c r="C1471" s="469"/>
      <c r="D1471" s="475"/>
      <c r="E1471" s="472">
        <f t="shared" si="498"/>
        <v>0</v>
      </c>
      <c r="F1471" s="475">
        <f>IF(C1471="",0,IFERROR(VLOOKUP(COUNTIF($A$1:A1471,"ANALISIS DE PRECIOS"),T_Rendimiento_Equipo,5,FALSE),0))</f>
        <v>0</v>
      </c>
      <c r="G1471" s="472">
        <f t="shared" si="499"/>
        <v>0</v>
      </c>
    </row>
    <row r="1472" spans="1:7" ht="19.899999999999999" customHeight="1">
      <c r="A1472" s="515">
        <f t="shared" si="496"/>
        <v>0</v>
      </c>
      <c r="B1472" s="478">
        <f t="shared" si="497"/>
        <v>0</v>
      </c>
      <c r="C1472" s="469"/>
      <c r="D1472" s="475"/>
      <c r="E1472" s="472">
        <f t="shared" si="498"/>
        <v>0</v>
      </c>
      <c r="F1472" s="475">
        <f>IF(C1472="",0,IFERROR(VLOOKUP(COUNTIF($A$1:A1472,"ANALISIS DE PRECIOS"),T_Rendimiento_Equipo,5,FALSE),0))</f>
        <v>0</v>
      </c>
      <c r="G1472" s="472">
        <f t="shared" si="499"/>
        <v>0</v>
      </c>
    </row>
    <row r="1473" spans="1:7" ht="19.899999999999999" customHeight="1">
      <c r="A1473" s="515">
        <f t="shared" si="496"/>
        <v>0</v>
      </c>
      <c r="B1473" s="478">
        <f t="shared" si="497"/>
        <v>0</v>
      </c>
      <c r="C1473" s="469"/>
      <c r="D1473" s="483"/>
      <c r="E1473" s="472">
        <f t="shared" si="498"/>
        <v>0</v>
      </c>
      <c r="F1473" s="475">
        <f>IF(C1473="",0,IFERROR(VLOOKUP(COUNTIF($A$1:A1473,"ANALISIS DE PRECIOS"),T_Rendimiento_Equipo,5,FALSE),0))</f>
        <v>0</v>
      </c>
      <c r="G1473" s="472">
        <f t="shared" si="499"/>
        <v>0</v>
      </c>
    </row>
    <row r="1474" spans="1:7" ht="19.899999999999999" customHeight="1">
      <c r="A1474" s="515">
        <f t="shared" ref="A1474" si="500">IFERROR(VLOOKUP(C1474,T_Insumos,4,FALSE),0)</f>
        <v>0</v>
      </c>
      <c r="B1474" s="478">
        <f t="shared" ref="B1474" si="501">IFERROR(VLOOKUP(C1474,T_Insumos,5,FALSE),0)</f>
        <v>0</v>
      </c>
      <c r="C1474" s="478"/>
      <c r="D1474" s="484"/>
      <c r="E1474" s="472">
        <f t="shared" ref="E1474" si="502">IFERROR(VLOOKUP(C1474,T_Insumos,3,FALSE),0)</f>
        <v>0</v>
      </c>
      <c r="F1474" s="475">
        <f>IF(C1474="",0,IFERROR(VLOOKUP(COUNTIF($A$1:A1474,"ANALISIS DE PRECIOS"),T_Rendimiento_Equipo,5,FALSE),0))</f>
        <v>0</v>
      </c>
      <c r="G1474" s="472">
        <f t="shared" si="499"/>
        <v>0</v>
      </c>
    </row>
    <row r="1475" spans="1:7" ht="19.899999999999999" customHeight="1">
      <c r="A1475" s="516"/>
      <c r="B1475" s="459"/>
      <c r="C1475" s="163"/>
      <c r="D1475" s="459"/>
      <c r="E1475" s="460"/>
      <c r="F1475" s="481" t="s">
        <v>27</v>
      </c>
      <c r="G1475" s="518">
        <f>SUBTOTAL(9,G1468:G1474)</f>
        <v>0</v>
      </c>
    </row>
    <row r="1476" spans="1:7" ht="19.899999999999999" customHeight="1">
      <c r="A1476" s="513"/>
      <c r="B1476" s="163"/>
      <c r="C1476" s="455" t="s">
        <v>1013</v>
      </c>
      <c r="D1476" s="459"/>
      <c r="E1476" s="460"/>
      <c r="F1476" s="461"/>
      <c r="G1476" s="514"/>
    </row>
    <row r="1477" spans="1:7" ht="19.899999999999999" customHeight="1">
      <c r="A1477" s="677" t="s">
        <v>575</v>
      </c>
      <c r="B1477" s="678"/>
      <c r="C1477" s="679" t="s">
        <v>0</v>
      </c>
      <c r="D1477" s="679" t="s">
        <v>1865</v>
      </c>
      <c r="E1477" s="681" t="s">
        <v>23</v>
      </c>
      <c r="F1477" s="683" t="s">
        <v>24</v>
      </c>
      <c r="G1477" s="685" t="s">
        <v>25</v>
      </c>
    </row>
    <row r="1478" spans="1:7" ht="19.899999999999999" customHeight="1">
      <c r="A1478" s="477" t="s">
        <v>576</v>
      </c>
      <c r="B1478" s="477" t="s">
        <v>577</v>
      </c>
      <c r="C1478" s="680"/>
      <c r="D1478" s="680"/>
      <c r="E1478" s="682"/>
      <c r="F1478" s="684"/>
      <c r="G1478" s="686"/>
    </row>
    <row r="1479" spans="1:7" ht="19.899999999999999" customHeight="1">
      <c r="A1479" s="515">
        <f t="shared" ref="A1479:A1488" si="503">IFERROR(VLOOKUP(C1479,T_Insumos,4,FALSE),0)</f>
        <v>0</v>
      </c>
      <c r="B1479" s="478">
        <f t="shared" ref="B1479:B1488" si="504">IFERROR(VLOOKUP(C1479,T_Insumos,5,FALSE),0)</f>
        <v>0</v>
      </c>
      <c r="C1479" s="478"/>
      <c r="D1479" s="526">
        <f t="shared" ref="D1479:D1488" si="505">IFERROR(VLOOKUP(C1479,T_Insumos,2,FALSE),0)</f>
        <v>0</v>
      </c>
      <c r="E1479" s="470"/>
      <c r="F1479" s="472">
        <f t="shared" ref="F1479:F1488" si="506">IFERROR(VLOOKUP(C1479,T_Insumos,3,FALSE),0)</f>
        <v>0</v>
      </c>
      <c r="G1479" s="472">
        <f>ROUND(E1479*F1479,2)</f>
        <v>0</v>
      </c>
    </row>
    <row r="1480" spans="1:7" ht="19.899999999999999" customHeight="1">
      <c r="A1480" s="515">
        <f t="shared" si="503"/>
        <v>0</v>
      </c>
      <c r="B1480" s="478">
        <f t="shared" si="504"/>
        <v>0</v>
      </c>
      <c r="C1480" s="478"/>
      <c r="D1480" s="526">
        <f t="shared" si="505"/>
        <v>0</v>
      </c>
      <c r="E1480" s="470"/>
      <c r="F1480" s="472">
        <f t="shared" si="506"/>
        <v>0</v>
      </c>
      <c r="G1480" s="472">
        <f t="shared" ref="G1480:G1489" si="507">ROUND(E1480*F1480,2)</f>
        <v>0</v>
      </c>
    </row>
    <row r="1481" spans="1:7" ht="19.899999999999999" customHeight="1">
      <c r="A1481" s="515">
        <f t="shared" si="503"/>
        <v>0</v>
      </c>
      <c r="B1481" s="478">
        <f t="shared" si="504"/>
        <v>0</v>
      </c>
      <c r="C1481" s="478"/>
      <c r="D1481" s="526">
        <f t="shared" si="505"/>
        <v>0</v>
      </c>
      <c r="E1481" s="470"/>
      <c r="F1481" s="472">
        <f t="shared" si="506"/>
        <v>0</v>
      </c>
      <c r="G1481" s="472">
        <f t="shared" si="507"/>
        <v>0</v>
      </c>
    </row>
    <row r="1482" spans="1:7" ht="19.899999999999999" customHeight="1">
      <c r="A1482" s="515">
        <f t="shared" si="503"/>
        <v>0</v>
      </c>
      <c r="B1482" s="478">
        <f t="shared" si="504"/>
        <v>0</v>
      </c>
      <c r="C1482" s="478"/>
      <c r="D1482" s="526">
        <f t="shared" si="505"/>
        <v>0</v>
      </c>
      <c r="E1482" s="470"/>
      <c r="F1482" s="472">
        <f t="shared" si="506"/>
        <v>0</v>
      </c>
      <c r="G1482" s="472">
        <f t="shared" si="507"/>
        <v>0</v>
      </c>
    </row>
    <row r="1483" spans="1:7" ht="19.899999999999999" customHeight="1">
      <c r="A1483" s="515">
        <f t="shared" si="503"/>
        <v>0</v>
      </c>
      <c r="B1483" s="478">
        <f t="shared" si="504"/>
        <v>0</v>
      </c>
      <c r="C1483" s="478"/>
      <c r="D1483" s="526">
        <f t="shared" si="505"/>
        <v>0</v>
      </c>
      <c r="E1483" s="470"/>
      <c r="F1483" s="472">
        <f t="shared" si="506"/>
        <v>0</v>
      </c>
      <c r="G1483" s="472">
        <f t="shared" si="507"/>
        <v>0</v>
      </c>
    </row>
    <row r="1484" spans="1:7" ht="19.899999999999999" customHeight="1">
      <c r="A1484" s="515">
        <f t="shared" si="503"/>
        <v>0</v>
      </c>
      <c r="B1484" s="478">
        <f t="shared" si="504"/>
        <v>0</v>
      </c>
      <c r="C1484" s="478"/>
      <c r="D1484" s="526">
        <f t="shared" si="505"/>
        <v>0</v>
      </c>
      <c r="E1484" s="470"/>
      <c r="F1484" s="472">
        <f t="shared" si="506"/>
        <v>0</v>
      </c>
      <c r="G1484" s="472">
        <f t="shared" si="507"/>
        <v>0</v>
      </c>
    </row>
    <row r="1485" spans="1:7" ht="19.899999999999999" customHeight="1">
      <c r="A1485" s="515">
        <f t="shared" si="503"/>
        <v>0</v>
      </c>
      <c r="B1485" s="478">
        <f t="shared" si="504"/>
        <v>0</v>
      </c>
      <c r="C1485" s="478"/>
      <c r="D1485" s="526">
        <f t="shared" si="505"/>
        <v>0</v>
      </c>
      <c r="E1485" s="470"/>
      <c r="F1485" s="472">
        <f t="shared" si="506"/>
        <v>0</v>
      </c>
      <c r="G1485" s="472">
        <f t="shared" si="507"/>
        <v>0</v>
      </c>
    </row>
    <row r="1486" spans="1:7" ht="19.899999999999999" customHeight="1">
      <c r="A1486" s="515">
        <f t="shared" si="503"/>
        <v>0</v>
      </c>
      <c r="B1486" s="478">
        <f t="shared" si="504"/>
        <v>0</v>
      </c>
      <c r="C1486" s="478"/>
      <c r="D1486" s="526">
        <f t="shared" si="505"/>
        <v>0</v>
      </c>
      <c r="E1486" s="470"/>
      <c r="F1486" s="472">
        <f t="shared" si="506"/>
        <v>0</v>
      </c>
      <c r="G1486" s="472">
        <f t="shared" si="507"/>
        <v>0</v>
      </c>
    </row>
    <row r="1487" spans="1:7" ht="19.899999999999999" customHeight="1">
      <c r="A1487" s="515">
        <f t="shared" si="503"/>
        <v>0</v>
      </c>
      <c r="B1487" s="478">
        <f t="shared" si="504"/>
        <v>0</v>
      </c>
      <c r="C1487" s="478"/>
      <c r="D1487" s="526">
        <f t="shared" si="505"/>
        <v>0</v>
      </c>
      <c r="E1487" s="470"/>
      <c r="F1487" s="472">
        <f t="shared" si="506"/>
        <v>0</v>
      </c>
      <c r="G1487" s="472">
        <f t="shared" si="507"/>
        <v>0</v>
      </c>
    </row>
    <row r="1488" spans="1:7" ht="19.899999999999999" customHeight="1">
      <c r="A1488" s="515">
        <f t="shared" si="503"/>
        <v>0</v>
      </c>
      <c r="B1488" s="478">
        <f t="shared" si="504"/>
        <v>0</v>
      </c>
      <c r="C1488" s="478"/>
      <c r="D1488" s="526">
        <f t="shared" si="505"/>
        <v>0</v>
      </c>
      <c r="E1488" s="470"/>
      <c r="F1488" s="472">
        <f t="shared" si="506"/>
        <v>0</v>
      </c>
      <c r="G1488" s="472">
        <f t="shared" si="507"/>
        <v>0</v>
      </c>
    </row>
    <row r="1489" spans="1:8" ht="19.899999999999999" customHeight="1">
      <c r="A1489" s="515">
        <f t="shared" ref="A1489" si="508">IFERROR(VLOOKUP(C1489,T_Insumos,4,FALSE),0)</f>
        <v>0</v>
      </c>
      <c r="B1489" s="478">
        <f t="shared" ref="B1489" si="509">IFERROR(VLOOKUP(C1489,T_Insumos,5,FALSE),0)</f>
        <v>0</v>
      </c>
      <c r="C1489" s="478"/>
      <c r="D1489" s="526">
        <f t="shared" ref="D1489" si="510">IFERROR(VLOOKUP(C1489,T_Insumos,2,FALSE),0)</f>
        <v>0</v>
      </c>
      <c r="E1489" s="470"/>
      <c r="F1489" s="472">
        <f t="shared" ref="F1489" si="511">IFERROR(VLOOKUP(C1489,T_Insumos,3,FALSE),0)</f>
        <v>0</v>
      </c>
      <c r="G1489" s="472">
        <f t="shared" si="507"/>
        <v>0</v>
      </c>
    </row>
    <row r="1490" spans="1:8" ht="19.899999999999999" customHeight="1">
      <c r="A1490" s="513"/>
      <c r="B1490" s="163"/>
      <c r="C1490" s="163"/>
      <c r="D1490" s="459"/>
      <c r="E1490" s="460"/>
      <c r="F1490" s="481" t="s">
        <v>28</v>
      </c>
      <c r="G1490" s="518">
        <f>SUBTOTAL(9,G1479:G1489)</f>
        <v>0</v>
      </c>
    </row>
    <row r="1491" spans="1:8" ht="19.899999999999999" customHeight="1">
      <c r="A1491" s="513"/>
      <c r="B1491" s="163"/>
      <c r="C1491" s="455" t="s">
        <v>1014</v>
      </c>
      <c r="D1491" s="459"/>
      <c r="E1491" s="460"/>
      <c r="F1491" s="461"/>
      <c r="G1491" s="514"/>
    </row>
    <row r="1492" spans="1:8" ht="19.899999999999999" customHeight="1">
      <c r="A1492" s="677" t="s">
        <v>575</v>
      </c>
      <c r="B1492" s="678"/>
      <c r="C1492" s="679" t="s">
        <v>0</v>
      </c>
      <c r="D1492" s="679" t="s">
        <v>1865</v>
      </c>
      <c r="E1492" s="681" t="s">
        <v>23</v>
      </c>
      <c r="F1492" s="683" t="s">
        <v>24</v>
      </c>
      <c r="G1492" s="685" t="s">
        <v>25</v>
      </c>
    </row>
    <row r="1493" spans="1:8" ht="19.899999999999999" customHeight="1">
      <c r="A1493" s="477" t="s">
        <v>576</v>
      </c>
      <c r="B1493" s="477" t="s">
        <v>577</v>
      </c>
      <c r="C1493" s="680"/>
      <c r="D1493" s="680"/>
      <c r="E1493" s="682"/>
      <c r="F1493" s="684"/>
      <c r="G1493" s="686"/>
    </row>
    <row r="1494" spans="1:8" ht="19.899999999999999" customHeight="1">
      <c r="A1494" s="515">
        <f>IFERROR(VLOOKUP(C1494,T_Insumos,4,FALSE),0)</f>
        <v>0</v>
      </c>
      <c r="B1494" s="478">
        <f>IFERROR(VLOOKUP(C1494,T_Insumos,5,FALSE),0)</f>
        <v>0</v>
      </c>
      <c r="C1494" s="469"/>
      <c r="D1494" s="526">
        <f>IF(C1494=0,0,"$/tnkm")</f>
        <v>0</v>
      </c>
      <c r="E1494" s="470"/>
      <c r="F1494" s="472">
        <f>IFERROR(VLOOKUP(C1494,T_Insumos,3,FALSE),0)</f>
        <v>0</v>
      </c>
      <c r="G1494" s="472">
        <f>ROUND(E1494*F1494,2)</f>
        <v>0</v>
      </c>
    </row>
    <row r="1495" spans="1:8" ht="19.899999999999999" customHeight="1">
      <c r="A1495" s="515">
        <f>IFERROR(VLOOKUP(C1495,T_Insumos,4,FALSE),0)</f>
        <v>0</v>
      </c>
      <c r="B1495" s="478">
        <f>IFERROR(VLOOKUP(C1495,T_Insumos,5,FALSE),0)</f>
        <v>0</v>
      </c>
      <c r="C1495" s="469"/>
      <c r="D1495" s="526">
        <f>IF(C1495=0,0,"$/tnkm")</f>
        <v>0</v>
      </c>
      <c r="E1495" s="486"/>
      <c r="F1495" s="472">
        <f>IFERROR(VLOOKUP(C1495,T_Insumos,3,FALSE),0)</f>
        <v>0</v>
      </c>
      <c r="G1495" s="472">
        <f t="shared" ref="G1495" si="512">ROUND(E1495*F1495,2)</f>
        <v>0</v>
      </c>
    </row>
    <row r="1496" spans="1:8" ht="19.899999999999999" customHeight="1">
      <c r="A1496" s="513"/>
      <c r="B1496" s="163"/>
      <c r="C1496" s="163"/>
      <c r="D1496" s="459"/>
      <c r="E1496" s="460"/>
      <c r="F1496" s="481" t="s">
        <v>1015</v>
      </c>
      <c r="G1496" s="518">
        <f>SUBTOTAL(9,G1494:G1495)</f>
        <v>0</v>
      </c>
    </row>
    <row r="1497" spans="1:8" ht="19.899999999999999" customHeight="1">
      <c r="A1497" s="516"/>
      <c r="B1497" s="459"/>
      <c r="C1497" s="163"/>
      <c r="D1497" s="459"/>
      <c r="E1497" s="460"/>
      <c r="F1497" s="461"/>
      <c r="G1497" s="514"/>
    </row>
    <row r="1498" spans="1:8" ht="19.899999999999999" customHeight="1">
      <c r="A1498" s="574" t="str">
        <f>B1432</f>
        <v>5.1.5</v>
      </c>
      <c r="B1498" s="571" t="str">
        <f ca="1">C1432</f>
        <v>Hormigón H20</v>
      </c>
      <c r="C1498" s="459"/>
      <c r="D1498" s="459" t="s">
        <v>1831</v>
      </c>
      <c r="E1498" s="572"/>
      <c r="F1498" s="573" t="str">
        <f ca="1">"$/"&amp;G1432</f>
        <v>$/m3</v>
      </c>
      <c r="G1498" s="523">
        <f>SUBTOTAL(9,G1455:G1497)</f>
        <v>0</v>
      </c>
    </row>
    <row r="1499" spans="1:8" ht="19.899999999999999" customHeight="1">
      <c r="A1499" s="519"/>
      <c r="B1499" s="520"/>
      <c r="C1499" s="521"/>
      <c r="D1499" s="521" t="s">
        <v>2041</v>
      </c>
      <c r="E1499" s="522"/>
      <c r="F1499" s="575" t="str">
        <f ca="1">"$/"&amp;G1432</f>
        <v>$/m3</v>
      </c>
      <c r="G1499" s="523">
        <f>ROUND(G1498*Coeficiente_Paso,2)</f>
        <v>0</v>
      </c>
    </row>
    <row r="1500" spans="1:8" ht="19.899999999999999" customHeight="1">
      <c r="A1500" s="163"/>
      <c r="B1500" s="163"/>
      <c r="C1500" s="163"/>
      <c r="D1500" s="163"/>
      <c r="E1500" s="163"/>
      <c r="F1500" s="163"/>
      <c r="G1500" s="163"/>
    </row>
    <row r="1501" spans="1:8" ht="19.899999999999999" customHeight="1">
      <c r="A1501" s="687" t="s">
        <v>30</v>
      </c>
      <c r="B1501" s="688"/>
      <c r="C1501" s="688"/>
      <c r="D1501" s="688"/>
      <c r="E1501" s="688"/>
      <c r="F1501" s="688"/>
      <c r="G1501" s="689"/>
      <c r="H1501" s="60"/>
    </row>
    <row r="1502" spans="1:8" ht="19.899999999999999" customHeight="1">
      <c r="A1502" s="502" t="s">
        <v>710</v>
      </c>
      <c r="B1502" s="453" t="str">
        <f>Comitente</f>
        <v>DEPARTAMENTO DE HIDRAULICA</v>
      </c>
      <c r="C1502" s="454"/>
      <c r="D1502" s="455"/>
      <c r="E1502" s="455"/>
      <c r="F1502" s="456"/>
      <c r="G1502" s="503"/>
      <c r="H1502" s="60"/>
    </row>
    <row r="1503" spans="1:8" ht="19.899999999999999" customHeight="1">
      <c r="A1503" s="502" t="s">
        <v>711</v>
      </c>
      <c r="B1503" s="453">
        <f>Contratista</f>
        <v>0</v>
      </c>
      <c r="C1503" s="457"/>
      <c r="D1503" s="457"/>
      <c r="E1503" s="457"/>
      <c r="F1503" s="453"/>
      <c r="G1503" s="504"/>
      <c r="H1503" s="60"/>
    </row>
    <row r="1504" spans="1:8" ht="19.899999999999999" customHeight="1">
      <c r="A1504" s="502" t="s">
        <v>20</v>
      </c>
      <c r="B1504" s="453" t="str">
        <f>Obra</f>
        <v>MEJORA DE LA RED DE RIEGO DEL VALLE DE JÁCHAL</v>
      </c>
      <c r="C1504" s="457"/>
      <c r="D1504" s="457"/>
      <c r="E1504" s="457"/>
      <c r="F1504" s="453" t="s">
        <v>31</v>
      </c>
      <c r="G1504" s="504" t="str">
        <f>Fecha_Base</f>
        <v>XX/07/2020</v>
      </c>
      <c r="H1504" s="60"/>
    </row>
    <row r="1505" spans="1:8" ht="19.899999999999999" customHeight="1">
      <c r="A1505" s="505" t="s">
        <v>709</v>
      </c>
      <c r="B1505" s="458" t="str">
        <f>Ubicación</f>
        <v>JACHAL</v>
      </c>
      <c r="C1505" s="458"/>
      <c r="D1505" s="459"/>
      <c r="E1505" s="460"/>
      <c r="F1505" s="461"/>
      <c r="G1505" s="506"/>
      <c r="H1505" s="60"/>
    </row>
    <row r="1506" spans="1:8" ht="19.899999999999999" customHeight="1">
      <c r="A1506" s="505" t="s">
        <v>32</v>
      </c>
      <c r="B1506" s="462">
        <f>IFERROR(VALUE(LEFT(B1507,FIND(".",B1507)-1)),"")</f>
        <v>5</v>
      </c>
      <c r="C1506" s="163" t="str">
        <f ca="1">IFERROR(VLOOKUP(B1506,T_Computo_Presupuesto,2,FALSE),0)</f>
        <v>CANAL MATRIZ</v>
      </c>
      <c r="D1506" s="163"/>
      <c r="E1506" s="460"/>
      <c r="F1506" s="461"/>
      <c r="G1506" s="506"/>
      <c r="H1506" s="60"/>
    </row>
    <row r="1507" spans="1:8" ht="19.899999999999999" customHeight="1">
      <c r="A1507" s="505" t="s">
        <v>21</v>
      </c>
      <c r="B1507" s="463" t="str">
        <f>IFERROR(VLOOKUP(COUNTIF($A$1:A1507,"ANALISIS DE PRECIOS"),T_NumeroItem,2,FALSE),"")</f>
        <v>5.1.6</v>
      </c>
      <c r="C1507" s="690" t="str">
        <f ca="1">IFERROR(VLOOKUP(B1507,T_Computo_Presupuesto,2,FALSE),0)</f>
        <v>Malla de acero</v>
      </c>
      <c r="D1507" s="690"/>
      <c r="E1507" s="690"/>
      <c r="F1507" s="458" t="s">
        <v>22</v>
      </c>
      <c r="G1507" s="507" t="str">
        <f ca="1">IFERROR(VLOOKUP(B1507,T_Computo_Presupuesto,4,FALSE),0)</f>
        <v>kg</v>
      </c>
      <c r="H1507" s="60"/>
    </row>
    <row r="1508" spans="1:8" ht="19.899999999999999" customHeight="1">
      <c r="A1508" s="505"/>
      <c r="B1508" s="458"/>
      <c r="C1508" s="163"/>
      <c r="D1508" s="459"/>
      <c r="E1508" s="460"/>
      <c r="F1508" s="163"/>
      <c r="G1508" s="508"/>
      <c r="H1508" s="60"/>
    </row>
    <row r="1509" spans="1:8" ht="19.899999999999999" customHeight="1">
      <c r="A1509" s="509"/>
      <c r="B1509" s="464"/>
      <c r="C1509" s="465" t="s">
        <v>998</v>
      </c>
      <c r="D1509" s="464"/>
      <c r="E1509" s="464"/>
      <c r="F1509" s="464"/>
      <c r="G1509" s="510"/>
      <c r="H1509" s="60"/>
    </row>
    <row r="1510" spans="1:8" ht="19.899999999999999" customHeight="1">
      <c r="A1510" s="505"/>
      <c r="B1510" s="466"/>
      <c r="C1510" s="163"/>
      <c r="D1510" s="459"/>
      <c r="E1510" s="460"/>
      <c r="F1510" s="458"/>
      <c r="G1510" s="507"/>
      <c r="H1510" s="60"/>
    </row>
    <row r="1511" spans="1:8" ht="19.899999999999999" customHeight="1">
      <c r="A1511" s="505"/>
      <c r="B1511" s="466"/>
      <c r="C1511" s="467" t="s">
        <v>999</v>
      </c>
      <c r="D1511" s="468" t="s">
        <v>23</v>
      </c>
      <c r="E1511" s="468" t="s">
        <v>1000</v>
      </c>
      <c r="F1511" s="468" t="s">
        <v>1001</v>
      </c>
      <c r="G1511" s="467" t="s">
        <v>1002</v>
      </c>
    </row>
    <row r="1512" spans="1:8" ht="19.899999999999999" customHeight="1">
      <c r="A1512" s="505"/>
      <c r="B1512" s="466"/>
      <c r="C1512" s="469"/>
      <c r="D1512" s="470"/>
      <c r="E1512" s="471">
        <f t="shared" ref="E1512:E1520" si="513">IFERROR(VLOOKUP(C1512,T_Equipos,4,FALSE),0)</f>
        <v>0</v>
      </c>
      <c r="F1512" s="472">
        <f t="shared" ref="F1512:F1520" si="514">IFERROR(VLOOKUP(C1512,T_Equipos,5,FALSE),0)</f>
        <v>0</v>
      </c>
      <c r="G1512" s="472">
        <f>ROUND(D1512*F1512,2)</f>
        <v>0</v>
      </c>
    </row>
    <row r="1513" spans="1:8" ht="19.899999999999999" customHeight="1">
      <c r="A1513" s="505"/>
      <c r="B1513" s="466"/>
      <c r="C1513" s="469"/>
      <c r="D1513" s="470"/>
      <c r="E1513" s="471">
        <f t="shared" si="513"/>
        <v>0</v>
      </c>
      <c r="F1513" s="472">
        <f t="shared" si="514"/>
        <v>0</v>
      </c>
      <c r="G1513" s="472">
        <f>ROUND(D1513*F1513,2)</f>
        <v>0</v>
      </c>
    </row>
    <row r="1514" spans="1:8" ht="19.899999999999999" customHeight="1">
      <c r="A1514" s="505"/>
      <c r="B1514" s="466"/>
      <c r="C1514" s="469"/>
      <c r="D1514" s="470"/>
      <c r="E1514" s="471">
        <f t="shared" si="513"/>
        <v>0</v>
      </c>
      <c r="F1514" s="472">
        <f t="shared" si="514"/>
        <v>0</v>
      </c>
      <c r="G1514" s="472">
        <f>ROUND(D1514*F1514,2)</f>
        <v>0</v>
      </c>
    </row>
    <row r="1515" spans="1:8" ht="19.899999999999999" customHeight="1">
      <c r="A1515" s="505"/>
      <c r="B1515" s="466"/>
      <c r="C1515" s="469"/>
      <c r="D1515" s="470"/>
      <c r="E1515" s="471">
        <f t="shared" si="513"/>
        <v>0</v>
      </c>
      <c r="F1515" s="472">
        <f t="shared" si="514"/>
        <v>0</v>
      </c>
      <c r="G1515" s="472">
        <f>ROUND(D1515*F1515,2)</f>
        <v>0</v>
      </c>
    </row>
    <row r="1516" spans="1:8" ht="19.899999999999999" customHeight="1">
      <c r="A1516" s="505"/>
      <c r="B1516" s="466"/>
      <c r="C1516" s="469"/>
      <c r="D1516" s="470"/>
      <c r="E1516" s="471">
        <f t="shared" si="513"/>
        <v>0</v>
      </c>
      <c r="F1516" s="472">
        <f t="shared" si="514"/>
        <v>0</v>
      </c>
      <c r="G1516" s="472">
        <f t="shared" ref="G1516:G1521" si="515">ROUND(D1516*F1516,2)</f>
        <v>0</v>
      </c>
    </row>
    <row r="1517" spans="1:8" ht="19.899999999999999" customHeight="1">
      <c r="A1517" s="505"/>
      <c r="B1517" s="466"/>
      <c r="C1517" s="469"/>
      <c r="D1517" s="470"/>
      <c r="E1517" s="471">
        <f t="shared" si="513"/>
        <v>0</v>
      </c>
      <c r="F1517" s="472">
        <f t="shared" si="514"/>
        <v>0</v>
      </c>
      <c r="G1517" s="472">
        <f t="shared" si="515"/>
        <v>0</v>
      </c>
    </row>
    <row r="1518" spans="1:8" ht="19.899999999999999" customHeight="1">
      <c r="A1518" s="505"/>
      <c r="B1518" s="466"/>
      <c r="C1518" s="469"/>
      <c r="D1518" s="470"/>
      <c r="E1518" s="471">
        <f t="shared" si="513"/>
        <v>0</v>
      </c>
      <c r="F1518" s="472">
        <f t="shared" si="514"/>
        <v>0</v>
      </c>
      <c r="G1518" s="472">
        <f t="shared" si="515"/>
        <v>0</v>
      </c>
    </row>
    <row r="1519" spans="1:8" ht="19.899999999999999" customHeight="1">
      <c r="A1519" s="505"/>
      <c r="B1519" s="466"/>
      <c r="C1519" s="469"/>
      <c r="D1519" s="470"/>
      <c r="E1519" s="471">
        <f t="shared" si="513"/>
        <v>0</v>
      </c>
      <c r="F1519" s="472">
        <f t="shared" si="514"/>
        <v>0</v>
      </c>
      <c r="G1519" s="472">
        <f t="shared" si="515"/>
        <v>0</v>
      </c>
    </row>
    <row r="1520" spans="1:8" ht="19.899999999999999" customHeight="1">
      <c r="A1520" s="505"/>
      <c r="B1520" s="466"/>
      <c r="C1520" s="469"/>
      <c r="D1520" s="470"/>
      <c r="E1520" s="471">
        <f t="shared" si="513"/>
        <v>0</v>
      </c>
      <c r="F1520" s="472">
        <f t="shared" si="514"/>
        <v>0</v>
      </c>
      <c r="G1520" s="472">
        <f t="shared" si="515"/>
        <v>0</v>
      </c>
    </row>
    <row r="1521" spans="1:7" ht="19.899999999999999" customHeight="1">
      <c r="A1521" s="505"/>
      <c r="B1521" s="466"/>
      <c r="C1521" s="469"/>
      <c r="D1521" s="470"/>
      <c r="E1521" s="471">
        <f t="shared" ref="E1521" si="516">IFERROR(VLOOKUP(C1521,T_Equipos,4,FALSE),0)</f>
        <v>0</v>
      </c>
      <c r="F1521" s="472">
        <f t="shared" ref="F1521" si="517">IFERROR(VLOOKUP(C1521,T_Equipos,5,FALSE),0)</f>
        <v>0</v>
      </c>
      <c r="G1521" s="472">
        <f t="shared" si="515"/>
        <v>0</v>
      </c>
    </row>
    <row r="1522" spans="1:7" ht="19.899999999999999" customHeight="1">
      <c r="A1522" s="505"/>
      <c r="B1522" s="466"/>
      <c r="C1522" s="163"/>
      <c r="D1522" s="163"/>
      <c r="E1522" s="473"/>
      <c r="F1522" s="458"/>
      <c r="G1522" s="507"/>
    </row>
    <row r="1523" spans="1:7" ht="19.899999999999999" customHeight="1">
      <c r="A1523" s="505"/>
      <c r="B1523" s="163"/>
      <c r="C1523" s="455" t="s">
        <v>1003</v>
      </c>
      <c r="D1523" s="458" t="s">
        <v>1000</v>
      </c>
      <c r="E1523" s="524">
        <f>SUMPRODUCT(D1512:D1521,E1512:E1521)</f>
        <v>0</v>
      </c>
      <c r="F1523" s="458" t="s">
        <v>1004</v>
      </c>
      <c r="G1523" s="525">
        <f>SUM(G1512:G1521)</f>
        <v>0</v>
      </c>
    </row>
    <row r="1524" spans="1:7" ht="19.899999999999999" customHeight="1">
      <c r="A1524" s="505"/>
      <c r="B1524" s="466"/>
      <c r="C1524" s="474"/>
      <c r="D1524" s="473"/>
      <c r="E1524" s="460"/>
      <c r="F1524" s="458"/>
      <c r="G1524" s="511"/>
    </row>
    <row r="1525" spans="1:7" ht="19.899999999999999" customHeight="1">
      <c r="A1525" s="512"/>
      <c r="B1525" s="466"/>
      <c r="C1525" s="458" t="s">
        <v>1005</v>
      </c>
      <c r="D1525" s="475"/>
      <c r="E1525" s="476" t="str">
        <f ca="1">G1507&amp;"/día"</f>
        <v>kg/día</v>
      </c>
      <c r="F1525" s="452"/>
      <c r="G1525" s="507"/>
    </row>
    <row r="1526" spans="1:7" ht="19.899999999999999" customHeight="1">
      <c r="A1526" s="505"/>
      <c r="B1526" s="466"/>
      <c r="C1526" s="163"/>
      <c r="D1526" s="459"/>
      <c r="E1526" s="460"/>
      <c r="F1526" s="458"/>
      <c r="G1526" s="507"/>
    </row>
    <row r="1527" spans="1:7" ht="19.899999999999999" customHeight="1">
      <c r="A1527" s="677" t="s">
        <v>575</v>
      </c>
      <c r="B1527" s="678"/>
      <c r="C1527" s="679" t="s">
        <v>0</v>
      </c>
      <c r="D1527" s="691" t="s">
        <v>1864</v>
      </c>
      <c r="E1527" s="691" t="s">
        <v>1863</v>
      </c>
      <c r="F1527" s="683" t="s">
        <v>1006</v>
      </c>
      <c r="G1527" s="685" t="s">
        <v>25</v>
      </c>
    </row>
    <row r="1528" spans="1:7" ht="19.899999999999999" customHeight="1">
      <c r="A1528" s="477" t="s">
        <v>576</v>
      </c>
      <c r="B1528" s="477" t="s">
        <v>577</v>
      </c>
      <c r="C1528" s="680"/>
      <c r="D1528" s="692"/>
      <c r="E1528" s="682"/>
      <c r="F1528" s="684"/>
      <c r="G1528" s="686"/>
    </row>
    <row r="1529" spans="1:7" ht="19.899999999999999" customHeight="1">
      <c r="A1529" s="513"/>
      <c r="B1529" s="163"/>
      <c r="C1529" s="455" t="s">
        <v>1007</v>
      </c>
      <c r="D1529" s="460"/>
      <c r="E1529" s="460"/>
      <c r="F1529" s="163"/>
      <c r="G1529" s="514"/>
    </row>
    <row r="1530" spans="1:7" ht="19.899999999999999" customHeight="1">
      <c r="A1530" s="515">
        <f t="shared" ref="A1530:A1537" si="518">IFERROR(VLOOKUP(C1530,T_Insumos,4,FALSE),0)</f>
        <v>0</v>
      </c>
      <c r="B1530" s="478">
        <f t="shared" ref="B1530:B1537" si="519">IFERROR(VLOOKUP(C1530,T_Insumos,5,FALSE),0)</f>
        <v>0</v>
      </c>
      <c r="C1530" s="469"/>
      <c r="D1530" s="479">
        <f t="shared" ref="D1530:D1537" si="520">IFERROR(VLOOKUP(C1530,T_Insumos,3,FALSE),0)</f>
        <v>0</v>
      </c>
      <c r="E1530" s="472">
        <f>D1530*$G$1523</f>
        <v>0</v>
      </c>
      <c r="F1530" s="475">
        <f>IF(C1530="",0,IFERROR(VLOOKUP(COUNTIF($A$1:A1530,"ANALISIS DE PRECIOS"),T_Rendimiento_Equipo,5,FALSE),0))</f>
        <v>0</v>
      </c>
      <c r="G1530" s="472">
        <f>IFERROR(ROUND(E1530/F1530,2),0)</f>
        <v>0</v>
      </c>
    </row>
    <row r="1531" spans="1:7" ht="19.899999999999999" customHeight="1">
      <c r="A1531" s="515">
        <f t="shared" si="518"/>
        <v>0</v>
      </c>
      <c r="B1531" s="478">
        <f t="shared" si="519"/>
        <v>0</v>
      </c>
      <c r="C1531" s="469"/>
      <c r="D1531" s="479">
        <f t="shared" si="520"/>
        <v>0</v>
      </c>
      <c r="E1531" s="472">
        <f t="shared" ref="E1531:E1538" si="521">D1531*$G$1523</f>
        <v>0</v>
      </c>
      <c r="F1531" s="475">
        <f>IF(C1531="",0,IFERROR(VLOOKUP(COUNTIF($A$1:A1531,"ANALISIS DE PRECIOS"),T_Rendimiento_Equipo,5,FALSE),0))</f>
        <v>0</v>
      </c>
      <c r="G1531" s="472">
        <f t="shared" ref="G1531:G1538" si="522">IFERROR(ROUND(E1531/F1531,2),0)</f>
        <v>0</v>
      </c>
    </row>
    <row r="1532" spans="1:7" ht="19.899999999999999" customHeight="1">
      <c r="A1532" s="515">
        <f t="shared" si="518"/>
        <v>0</v>
      </c>
      <c r="B1532" s="478">
        <f t="shared" si="519"/>
        <v>0</v>
      </c>
      <c r="C1532" s="480"/>
      <c r="D1532" s="479">
        <f t="shared" si="520"/>
        <v>0</v>
      </c>
      <c r="E1532" s="472">
        <f t="shared" si="521"/>
        <v>0</v>
      </c>
      <c r="F1532" s="475">
        <f>IF(C1532="",0,IFERROR(VLOOKUP(COUNTIF($A$1:A1532,"ANALISIS DE PRECIOS"),T_Rendimiento_Equipo,5,FALSE),0))</f>
        <v>0</v>
      </c>
      <c r="G1532" s="472">
        <f t="shared" si="522"/>
        <v>0</v>
      </c>
    </row>
    <row r="1533" spans="1:7" ht="19.899999999999999" customHeight="1">
      <c r="A1533" s="515">
        <f t="shared" si="518"/>
        <v>0</v>
      </c>
      <c r="B1533" s="478">
        <f t="shared" si="519"/>
        <v>0</v>
      </c>
      <c r="C1533" s="480"/>
      <c r="D1533" s="479">
        <f t="shared" si="520"/>
        <v>0</v>
      </c>
      <c r="E1533" s="472">
        <f t="shared" si="521"/>
        <v>0</v>
      </c>
      <c r="F1533" s="475">
        <f>IF(C1533="",0,IFERROR(VLOOKUP(COUNTIF($A$1:A1533,"ANALISIS DE PRECIOS"),T_Rendimiento_Equipo,5,FALSE),0))</f>
        <v>0</v>
      </c>
      <c r="G1533" s="472">
        <f t="shared" si="522"/>
        <v>0</v>
      </c>
    </row>
    <row r="1534" spans="1:7" ht="19.899999999999999" customHeight="1">
      <c r="A1534" s="515">
        <f t="shared" si="518"/>
        <v>0</v>
      </c>
      <c r="B1534" s="478">
        <f t="shared" si="519"/>
        <v>0</v>
      </c>
      <c r="C1534" s="480"/>
      <c r="D1534" s="479">
        <f t="shared" si="520"/>
        <v>0</v>
      </c>
      <c r="E1534" s="472">
        <f t="shared" si="521"/>
        <v>0</v>
      </c>
      <c r="F1534" s="475">
        <f>IF(C1534="",0,IFERROR(VLOOKUP(COUNTIF($A$1:A1534,"ANALISIS DE PRECIOS"),T_Rendimiento_Equipo,5,FALSE),0))</f>
        <v>0</v>
      </c>
      <c r="G1534" s="472">
        <f t="shared" si="522"/>
        <v>0</v>
      </c>
    </row>
    <row r="1535" spans="1:7" ht="19.899999999999999" customHeight="1">
      <c r="A1535" s="515">
        <f t="shared" si="518"/>
        <v>0</v>
      </c>
      <c r="B1535" s="478">
        <f t="shared" si="519"/>
        <v>0</v>
      </c>
      <c r="C1535" s="480"/>
      <c r="D1535" s="479">
        <f t="shared" si="520"/>
        <v>0</v>
      </c>
      <c r="E1535" s="472">
        <f t="shared" si="521"/>
        <v>0</v>
      </c>
      <c r="F1535" s="475">
        <f>IF(C1535="",0,IFERROR(VLOOKUP(COUNTIF($A$1:A1535,"ANALISIS DE PRECIOS"),T_Rendimiento_Equipo,5,FALSE),0))</f>
        <v>0</v>
      </c>
      <c r="G1535" s="472">
        <f t="shared" si="522"/>
        <v>0</v>
      </c>
    </row>
    <row r="1536" spans="1:7" ht="19.899999999999999" customHeight="1">
      <c r="A1536" s="515">
        <f t="shared" si="518"/>
        <v>0</v>
      </c>
      <c r="B1536" s="478">
        <f t="shared" si="519"/>
        <v>0</v>
      </c>
      <c r="C1536" s="480"/>
      <c r="D1536" s="479">
        <f t="shared" si="520"/>
        <v>0</v>
      </c>
      <c r="E1536" s="472">
        <f t="shared" si="521"/>
        <v>0</v>
      </c>
      <c r="F1536" s="475">
        <f>IF(C1536="",0,IFERROR(VLOOKUP(COUNTIF($A$1:A1536,"ANALISIS DE PRECIOS"),T_Rendimiento_Equipo,5,FALSE),0))</f>
        <v>0</v>
      </c>
      <c r="G1536" s="472">
        <f t="shared" si="522"/>
        <v>0</v>
      </c>
    </row>
    <row r="1537" spans="1:7" ht="19.899999999999999" customHeight="1">
      <c r="A1537" s="515">
        <f t="shared" si="518"/>
        <v>0</v>
      </c>
      <c r="B1537" s="478">
        <f t="shared" si="519"/>
        <v>0</v>
      </c>
      <c r="C1537" s="480"/>
      <c r="D1537" s="479">
        <f t="shared" si="520"/>
        <v>0</v>
      </c>
      <c r="E1537" s="472">
        <f t="shared" si="521"/>
        <v>0</v>
      </c>
      <c r="F1537" s="475">
        <f>IF(C1537="",0,IFERROR(VLOOKUP(COUNTIF($A$1:A1537,"ANALISIS DE PRECIOS"),T_Rendimiento_Equipo,5,FALSE),0))</f>
        <v>0</v>
      </c>
      <c r="G1537" s="472">
        <f t="shared" si="522"/>
        <v>0</v>
      </c>
    </row>
    <row r="1538" spans="1:7" ht="19.899999999999999" customHeight="1">
      <c r="A1538" s="515">
        <f t="shared" ref="A1538" si="523">IFERROR(VLOOKUP(C1538,T_Insumos,4,FALSE),0)</f>
        <v>0</v>
      </c>
      <c r="B1538" s="478">
        <f t="shared" ref="B1538" si="524">IFERROR(VLOOKUP(C1538,T_Insumos,5,FALSE),0)</f>
        <v>0</v>
      </c>
      <c r="C1538" s="469"/>
      <c r="D1538" s="479">
        <f t="shared" ref="D1538" si="525">IFERROR(VLOOKUP(C1538,T_Insumos,3,FALSE),0)</f>
        <v>0</v>
      </c>
      <c r="E1538" s="472">
        <f t="shared" si="521"/>
        <v>0</v>
      </c>
      <c r="F1538" s="475">
        <f>IF(C1538="",0,IFERROR(VLOOKUP(COUNTIF($A$1:A1538,"ANALISIS DE PRECIOS"),T_Rendimiento_Equipo,5,FALSE),0))</f>
        <v>0</v>
      </c>
      <c r="G1538" s="472">
        <f t="shared" si="522"/>
        <v>0</v>
      </c>
    </row>
    <row r="1539" spans="1:7" ht="19.899999999999999" customHeight="1">
      <c r="A1539" s="516"/>
      <c r="B1539" s="459"/>
      <c r="C1539" s="163"/>
      <c r="D1539" s="459"/>
      <c r="E1539" s="460"/>
      <c r="F1539" s="481" t="s">
        <v>26</v>
      </c>
      <c r="G1539" s="517">
        <f>SUBTOTAL(9,G1530:G1538)</f>
        <v>0</v>
      </c>
    </row>
    <row r="1540" spans="1:7" ht="19.899999999999999" customHeight="1">
      <c r="A1540" s="513"/>
      <c r="B1540" s="163"/>
      <c r="C1540" s="455" t="s">
        <v>712</v>
      </c>
      <c r="D1540" s="459"/>
      <c r="E1540" s="460"/>
      <c r="F1540" s="461"/>
      <c r="G1540" s="514"/>
    </row>
    <row r="1541" spans="1:7" ht="19.899999999999999" customHeight="1">
      <c r="A1541" s="677" t="s">
        <v>575</v>
      </c>
      <c r="B1541" s="678"/>
      <c r="C1541" s="679" t="s">
        <v>0</v>
      </c>
      <c r="D1541" s="681" t="s">
        <v>23</v>
      </c>
      <c r="E1541" s="681" t="s">
        <v>1830</v>
      </c>
      <c r="F1541" s="683" t="s">
        <v>1006</v>
      </c>
      <c r="G1541" s="685" t="s">
        <v>25</v>
      </c>
    </row>
    <row r="1542" spans="1:7" ht="19.899999999999999" customHeight="1">
      <c r="A1542" s="477" t="s">
        <v>576</v>
      </c>
      <c r="B1542" s="477" t="s">
        <v>577</v>
      </c>
      <c r="C1542" s="680"/>
      <c r="D1542" s="682"/>
      <c r="E1542" s="682"/>
      <c r="F1542" s="684"/>
      <c r="G1542" s="686"/>
    </row>
    <row r="1543" spans="1:7" ht="19.899999999999999" customHeight="1">
      <c r="A1543" s="515">
        <f t="shared" ref="A1543:A1548" si="526">IFERROR(VLOOKUP(C1543,T_Insumos,4,FALSE),0)</f>
        <v>0</v>
      </c>
      <c r="B1543" s="478">
        <f t="shared" ref="B1543:B1548" si="527">IFERROR(VLOOKUP(C1543,T_Insumos,5,FALSE),0)</f>
        <v>0</v>
      </c>
      <c r="C1543" s="482"/>
      <c r="D1543" s="475"/>
      <c r="E1543" s="472">
        <f t="shared" ref="E1543:E1548" si="528">IFERROR(VLOOKUP(C1543,T_Insumos,3,FALSE),0)</f>
        <v>0</v>
      </c>
      <c r="F1543" s="475">
        <f>IF(C1543="",0,IFERROR(VLOOKUP(COUNTIF($A$1:A1543,"ANALISIS DE PRECIOS"),T_Rendimiento_Equipo,5,FALSE),0))</f>
        <v>0</v>
      </c>
      <c r="G1543" s="472">
        <f>IFERROR(ROUND(D1543*E1543/F1543,2),0)</f>
        <v>0</v>
      </c>
    </row>
    <row r="1544" spans="1:7" ht="19.899999999999999" customHeight="1">
      <c r="A1544" s="515">
        <f t="shared" si="526"/>
        <v>0</v>
      </c>
      <c r="B1544" s="478">
        <f t="shared" si="527"/>
        <v>0</v>
      </c>
      <c r="C1544" s="469"/>
      <c r="D1544" s="475"/>
      <c r="E1544" s="472">
        <f t="shared" si="528"/>
        <v>0</v>
      </c>
      <c r="F1544" s="475">
        <f>IF(C1544="",0,IFERROR(VLOOKUP(COUNTIF($A$1:A1544,"ANALISIS DE PRECIOS"),T_Rendimiento_Equipo,5,FALSE),0))</f>
        <v>0</v>
      </c>
      <c r="G1544" s="472">
        <f t="shared" ref="G1544:G1549" si="529">IFERROR(ROUND(D1544*E1544/F1544,2),0)</f>
        <v>0</v>
      </c>
    </row>
    <row r="1545" spans="1:7" ht="19.899999999999999" customHeight="1">
      <c r="A1545" s="515">
        <f t="shared" si="526"/>
        <v>0</v>
      </c>
      <c r="B1545" s="478">
        <f t="shared" si="527"/>
        <v>0</v>
      </c>
      <c r="C1545" s="469"/>
      <c r="D1545" s="475"/>
      <c r="E1545" s="472">
        <f t="shared" si="528"/>
        <v>0</v>
      </c>
      <c r="F1545" s="475">
        <f>IF(C1545="",0,IFERROR(VLOOKUP(COUNTIF($A$1:A1545,"ANALISIS DE PRECIOS"),T_Rendimiento_Equipo,5,FALSE),0))</f>
        <v>0</v>
      </c>
      <c r="G1545" s="472">
        <f t="shared" si="529"/>
        <v>0</v>
      </c>
    </row>
    <row r="1546" spans="1:7" ht="19.899999999999999" customHeight="1">
      <c r="A1546" s="515">
        <f t="shared" si="526"/>
        <v>0</v>
      </c>
      <c r="B1546" s="478">
        <f t="shared" si="527"/>
        <v>0</v>
      </c>
      <c r="C1546" s="469"/>
      <c r="D1546" s="475"/>
      <c r="E1546" s="472">
        <f t="shared" si="528"/>
        <v>0</v>
      </c>
      <c r="F1546" s="475">
        <f>IF(C1546="",0,IFERROR(VLOOKUP(COUNTIF($A$1:A1546,"ANALISIS DE PRECIOS"),T_Rendimiento_Equipo,5,FALSE),0))</f>
        <v>0</v>
      </c>
      <c r="G1546" s="472">
        <f t="shared" si="529"/>
        <v>0</v>
      </c>
    </row>
    <row r="1547" spans="1:7" ht="19.899999999999999" customHeight="1">
      <c r="A1547" s="515">
        <f t="shared" si="526"/>
        <v>0</v>
      </c>
      <c r="B1547" s="478">
        <f t="shared" si="527"/>
        <v>0</v>
      </c>
      <c r="C1547" s="469"/>
      <c r="D1547" s="475"/>
      <c r="E1547" s="472">
        <f t="shared" si="528"/>
        <v>0</v>
      </c>
      <c r="F1547" s="475">
        <f>IF(C1547="",0,IFERROR(VLOOKUP(COUNTIF($A$1:A1547,"ANALISIS DE PRECIOS"),T_Rendimiento_Equipo,5,FALSE),0))</f>
        <v>0</v>
      </c>
      <c r="G1547" s="472">
        <f t="shared" si="529"/>
        <v>0</v>
      </c>
    </row>
    <row r="1548" spans="1:7" ht="19.899999999999999" customHeight="1">
      <c r="A1548" s="515">
        <f t="shared" si="526"/>
        <v>0</v>
      </c>
      <c r="B1548" s="478">
        <f t="shared" si="527"/>
        <v>0</v>
      </c>
      <c r="C1548" s="469"/>
      <c r="D1548" s="483"/>
      <c r="E1548" s="472">
        <f t="shared" si="528"/>
        <v>0</v>
      </c>
      <c r="F1548" s="475">
        <f>IF(C1548="",0,IFERROR(VLOOKUP(COUNTIF($A$1:A1548,"ANALISIS DE PRECIOS"),T_Rendimiento_Equipo,5,FALSE),0))</f>
        <v>0</v>
      </c>
      <c r="G1548" s="472">
        <f t="shared" si="529"/>
        <v>0</v>
      </c>
    </row>
    <row r="1549" spans="1:7" ht="19.899999999999999" customHeight="1">
      <c r="A1549" s="515">
        <f t="shared" ref="A1549" si="530">IFERROR(VLOOKUP(C1549,T_Insumos,4,FALSE),0)</f>
        <v>0</v>
      </c>
      <c r="B1549" s="478">
        <f t="shared" ref="B1549" si="531">IFERROR(VLOOKUP(C1549,T_Insumos,5,FALSE),0)</f>
        <v>0</v>
      </c>
      <c r="C1549" s="478"/>
      <c r="D1549" s="484"/>
      <c r="E1549" s="472">
        <f t="shared" ref="E1549" si="532">IFERROR(VLOOKUP(C1549,T_Insumos,3,FALSE),0)</f>
        <v>0</v>
      </c>
      <c r="F1549" s="475">
        <f>IF(C1549="",0,IFERROR(VLOOKUP(COUNTIF($A$1:A1549,"ANALISIS DE PRECIOS"),T_Rendimiento_Equipo,5,FALSE),0))</f>
        <v>0</v>
      </c>
      <c r="G1549" s="472">
        <f t="shared" si="529"/>
        <v>0</v>
      </c>
    </row>
    <row r="1550" spans="1:7" ht="19.899999999999999" customHeight="1">
      <c r="A1550" s="516"/>
      <c r="B1550" s="459"/>
      <c r="C1550" s="163"/>
      <c r="D1550" s="459"/>
      <c r="E1550" s="460"/>
      <c r="F1550" s="481" t="s">
        <v>27</v>
      </c>
      <c r="G1550" s="518">
        <f>SUBTOTAL(9,G1543:G1549)</f>
        <v>0</v>
      </c>
    </row>
    <row r="1551" spans="1:7" ht="19.899999999999999" customHeight="1">
      <c r="A1551" s="513"/>
      <c r="B1551" s="163"/>
      <c r="C1551" s="455" t="s">
        <v>1013</v>
      </c>
      <c r="D1551" s="459"/>
      <c r="E1551" s="460"/>
      <c r="F1551" s="461"/>
      <c r="G1551" s="514"/>
    </row>
    <row r="1552" spans="1:7" ht="19.899999999999999" customHeight="1">
      <c r="A1552" s="677" t="s">
        <v>575</v>
      </c>
      <c r="B1552" s="678"/>
      <c r="C1552" s="679" t="s">
        <v>0</v>
      </c>
      <c r="D1552" s="679" t="s">
        <v>1865</v>
      </c>
      <c r="E1552" s="681" t="s">
        <v>23</v>
      </c>
      <c r="F1552" s="683" t="s">
        <v>24</v>
      </c>
      <c r="G1552" s="685" t="s">
        <v>25</v>
      </c>
    </row>
    <row r="1553" spans="1:7" ht="19.899999999999999" customHeight="1">
      <c r="A1553" s="477" t="s">
        <v>576</v>
      </c>
      <c r="B1553" s="477" t="s">
        <v>577</v>
      </c>
      <c r="C1553" s="680"/>
      <c r="D1553" s="680"/>
      <c r="E1553" s="682"/>
      <c r="F1553" s="684"/>
      <c r="G1553" s="686"/>
    </row>
    <row r="1554" spans="1:7" ht="19.899999999999999" customHeight="1">
      <c r="A1554" s="515">
        <f t="shared" ref="A1554:A1563" si="533">IFERROR(VLOOKUP(C1554,T_Insumos,4,FALSE),0)</f>
        <v>0</v>
      </c>
      <c r="B1554" s="478">
        <f t="shared" ref="B1554:B1563" si="534">IFERROR(VLOOKUP(C1554,T_Insumos,5,FALSE),0)</f>
        <v>0</v>
      </c>
      <c r="C1554" s="478"/>
      <c r="D1554" s="526">
        <f t="shared" ref="D1554:D1564" si="535">IFERROR(VLOOKUP(C1554,T_Insumos,2,FALSE),0)</f>
        <v>0</v>
      </c>
      <c r="E1554" s="470"/>
      <c r="F1554" s="472">
        <f t="shared" ref="F1554:F1564" si="536">IFERROR(VLOOKUP(C1554,T_Insumos,3,FALSE),0)</f>
        <v>0</v>
      </c>
      <c r="G1554" s="472">
        <f>ROUND(E1554*F1554,2)</f>
        <v>0</v>
      </c>
    </row>
    <row r="1555" spans="1:7" s="485" customFormat="1" ht="19.899999999999999" customHeight="1">
      <c r="A1555" s="515">
        <f t="shared" si="533"/>
        <v>0</v>
      </c>
      <c r="B1555" s="478">
        <f t="shared" si="534"/>
        <v>0</v>
      </c>
      <c r="C1555" s="478"/>
      <c r="D1555" s="526">
        <f t="shared" si="535"/>
        <v>0</v>
      </c>
      <c r="E1555" s="470"/>
      <c r="F1555" s="472">
        <f t="shared" si="536"/>
        <v>0</v>
      </c>
      <c r="G1555" s="472">
        <f t="shared" ref="G1555:G1564" si="537">ROUND(E1555*F1555,2)</f>
        <v>0</v>
      </c>
    </row>
    <row r="1556" spans="1:7" ht="19.899999999999999" customHeight="1">
      <c r="A1556" s="515">
        <f t="shared" si="533"/>
        <v>0</v>
      </c>
      <c r="B1556" s="478">
        <f t="shared" si="534"/>
        <v>0</v>
      </c>
      <c r="C1556" s="478"/>
      <c r="D1556" s="526">
        <f t="shared" si="535"/>
        <v>0</v>
      </c>
      <c r="E1556" s="470"/>
      <c r="F1556" s="472">
        <f t="shared" si="536"/>
        <v>0</v>
      </c>
      <c r="G1556" s="472">
        <f t="shared" si="537"/>
        <v>0</v>
      </c>
    </row>
    <row r="1557" spans="1:7" ht="19.899999999999999" customHeight="1">
      <c r="A1557" s="515">
        <f t="shared" si="533"/>
        <v>0</v>
      </c>
      <c r="B1557" s="478">
        <f t="shared" si="534"/>
        <v>0</v>
      </c>
      <c r="C1557" s="478"/>
      <c r="D1557" s="526">
        <f t="shared" si="535"/>
        <v>0</v>
      </c>
      <c r="E1557" s="470"/>
      <c r="F1557" s="472">
        <f t="shared" si="536"/>
        <v>0</v>
      </c>
      <c r="G1557" s="472">
        <f t="shared" si="537"/>
        <v>0</v>
      </c>
    </row>
    <row r="1558" spans="1:7" ht="19.899999999999999" customHeight="1">
      <c r="A1558" s="515">
        <f t="shared" si="533"/>
        <v>0</v>
      </c>
      <c r="B1558" s="478">
        <f t="shared" si="534"/>
        <v>0</v>
      </c>
      <c r="C1558" s="478"/>
      <c r="D1558" s="526">
        <f t="shared" si="535"/>
        <v>0</v>
      </c>
      <c r="E1558" s="470"/>
      <c r="F1558" s="472">
        <f t="shared" si="536"/>
        <v>0</v>
      </c>
      <c r="G1558" s="472">
        <f t="shared" si="537"/>
        <v>0</v>
      </c>
    </row>
    <row r="1559" spans="1:7" ht="19.899999999999999" customHeight="1">
      <c r="A1559" s="515">
        <f t="shared" si="533"/>
        <v>0</v>
      </c>
      <c r="B1559" s="478">
        <f t="shared" si="534"/>
        <v>0</v>
      </c>
      <c r="C1559" s="478"/>
      <c r="D1559" s="526">
        <f t="shared" si="535"/>
        <v>0</v>
      </c>
      <c r="E1559" s="470"/>
      <c r="F1559" s="472">
        <f t="shared" si="536"/>
        <v>0</v>
      </c>
      <c r="G1559" s="472">
        <f t="shared" si="537"/>
        <v>0</v>
      </c>
    </row>
    <row r="1560" spans="1:7" ht="19.899999999999999" customHeight="1">
      <c r="A1560" s="515">
        <f t="shared" si="533"/>
        <v>0</v>
      </c>
      <c r="B1560" s="478">
        <f t="shared" si="534"/>
        <v>0</v>
      </c>
      <c r="C1560" s="478"/>
      <c r="D1560" s="526">
        <f t="shared" si="535"/>
        <v>0</v>
      </c>
      <c r="E1560" s="470"/>
      <c r="F1560" s="472">
        <f t="shared" si="536"/>
        <v>0</v>
      </c>
      <c r="G1560" s="472">
        <f t="shared" si="537"/>
        <v>0</v>
      </c>
    </row>
    <row r="1561" spans="1:7" ht="19.899999999999999" customHeight="1">
      <c r="A1561" s="515">
        <f t="shared" si="533"/>
        <v>0</v>
      </c>
      <c r="B1561" s="478">
        <f t="shared" si="534"/>
        <v>0</v>
      </c>
      <c r="C1561" s="478"/>
      <c r="D1561" s="526">
        <f t="shared" si="535"/>
        <v>0</v>
      </c>
      <c r="E1561" s="470"/>
      <c r="F1561" s="472">
        <f t="shared" si="536"/>
        <v>0</v>
      </c>
      <c r="G1561" s="472">
        <f t="shared" si="537"/>
        <v>0</v>
      </c>
    </row>
    <row r="1562" spans="1:7" ht="19.899999999999999" customHeight="1">
      <c r="A1562" s="515">
        <f t="shared" si="533"/>
        <v>0</v>
      </c>
      <c r="B1562" s="478">
        <f t="shared" si="534"/>
        <v>0</v>
      </c>
      <c r="C1562" s="478"/>
      <c r="D1562" s="526">
        <f t="shared" si="535"/>
        <v>0</v>
      </c>
      <c r="E1562" s="470"/>
      <c r="F1562" s="472">
        <f t="shared" si="536"/>
        <v>0</v>
      </c>
      <c r="G1562" s="472">
        <f t="shared" si="537"/>
        <v>0</v>
      </c>
    </row>
    <row r="1563" spans="1:7" ht="19.899999999999999" customHeight="1">
      <c r="A1563" s="515">
        <f t="shared" si="533"/>
        <v>0</v>
      </c>
      <c r="B1563" s="478">
        <f t="shared" si="534"/>
        <v>0</v>
      </c>
      <c r="C1563" s="478"/>
      <c r="D1563" s="526">
        <f t="shared" si="535"/>
        <v>0</v>
      </c>
      <c r="E1563" s="470"/>
      <c r="F1563" s="472">
        <f t="shared" si="536"/>
        <v>0</v>
      </c>
      <c r="G1563" s="472">
        <f t="shared" si="537"/>
        <v>0</v>
      </c>
    </row>
    <row r="1564" spans="1:7" ht="19.899999999999999" customHeight="1">
      <c r="A1564" s="515">
        <f t="shared" ref="A1564" si="538">IFERROR(VLOOKUP(C1564,T_Insumos,4,FALSE),0)</f>
        <v>0</v>
      </c>
      <c r="B1564" s="478">
        <f t="shared" ref="B1564" si="539">IFERROR(VLOOKUP(C1564,T_Insumos,5,FALSE),0)</f>
        <v>0</v>
      </c>
      <c r="C1564" s="478"/>
      <c r="D1564" s="526">
        <f t="shared" si="535"/>
        <v>0</v>
      </c>
      <c r="E1564" s="470"/>
      <c r="F1564" s="472">
        <f t="shared" si="536"/>
        <v>0</v>
      </c>
      <c r="G1564" s="472">
        <f t="shared" si="537"/>
        <v>0</v>
      </c>
    </row>
    <row r="1565" spans="1:7" ht="19.899999999999999" customHeight="1">
      <c r="A1565" s="513"/>
      <c r="B1565" s="163"/>
      <c r="C1565" s="163"/>
      <c r="D1565" s="459"/>
      <c r="E1565" s="460"/>
      <c r="F1565" s="481" t="s">
        <v>28</v>
      </c>
      <c r="G1565" s="518">
        <f>SUBTOTAL(9,G1554:G1564)</f>
        <v>0</v>
      </c>
    </row>
    <row r="1566" spans="1:7" ht="19.899999999999999" customHeight="1">
      <c r="A1566" s="513"/>
      <c r="B1566" s="163"/>
      <c r="C1566" s="455" t="s">
        <v>1014</v>
      </c>
      <c r="D1566" s="459"/>
      <c r="E1566" s="460"/>
      <c r="F1566" s="461"/>
      <c r="G1566" s="514"/>
    </row>
    <row r="1567" spans="1:7" ht="19.899999999999999" customHeight="1">
      <c r="A1567" s="677" t="s">
        <v>575</v>
      </c>
      <c r="B1567" s="678"/>
      <c r="C1567" s="679" t="s">
        <v>0</v>
      </c>
      <c r="D1567" s="679" t="s">
        <v>1865</v>
      </c>
      <c r="E1567" s="681" t="s">
        <v>23</v>
      </c>
      <c r="F1567" s="683" t="s">
        <v>24</v>
      </c>
      <c r="G1567" s="685" t="s">
        <v>25</v>
      </c>
    </row>
    <row r="1568" spans="1:7" ht="19.899999999999999" customHeight="1">
      <c r="A1568" s="477" t="s">
        <v>576</v>
      </c>
      <c r="B1568" s="477" t="s">
        <v>577</v>
      </c>
      <c r="C1568" s="680"/>
      <c r="D1568" s="680"/>
      <c r="E1568" s="682"/>
      <c r="F1568" s="684"/>
      <c r="G1568" s="686"/>
    </row>
    <row r="1569" spans="1:8" ht="19.899999999999999" customHeight="1">
      <c r="A1569" s="515">
        <f>IFERROR(VLOOKUP(C1569,T_Insumos,4,FALSE),0)</f>
        <v>0</v>
      </c>
      <c r="B1569" s="478">
        <f>IFERROR(VLOOKUP(C1569,T_Insumos,5,FALSE),0)</f>
        <v>0</v>
      </c>
      <c r="C1569" s="469"/>
      <c r="D1569" s="526">
        <f>IF(C1569=0,0,"$/tnkm")</f>
        <v>0</v>
      </c>
      <c r="E1569" s="470"/>
      <c r="F1569" s="472">
        <f>IFERROR(VLOOKUP(C1569,T_Insumos,3,FALSE),0)</f>
        <v>0</v>
      </c>
      <c r="G1569" s="472">
        <f>ROUND(E1569*F1569,2)</f>
        <v>0</v>
      </c>
    </row>
    <row r="1570" spans="1:8" ht="19.899999999999999" customHeight="1">
      <c r="A1570" s="515">
        <f>IFERROR(VLOOKUP(C1570,T_Insumos,4,FALSE),0)</f>
        <v>0</v>
      </c>
      <c r="B1570" s="478">
        <f>IFERROR(VLOOKUP(C1570,T_Insumos,5,FALSE),0)</f>
        <v>0</v>
      </c>
      <c r="C1570" s="469"/>
      <c r="D1570" s="526">
        <f>IF(C1570=0,0,"$/tnkm")</f>
        <v>0</v>
      </c>
      <c r="E1570" s="486"/>
      <c r="F1570" s="472">
        <f>IFERROR(VLOOKUP(C1570,T_Insumos,3,FALSE),0)</f>
        <v>0</v>
      </c>
      <c r="G1570" s="472">
        <f t="shared" ref="G1570" si="540">ROUND(E1570*F1570,2)</f>
        <v>0</v>
      </c>
    </row>
    <row r="1571" spans="1:8" ht="19.899999999999999" customHeight="1">
      <c r="A1571" s="513"/>
      <c r="B1571" s="163"/>
      <c r="C1571" s="163"/>
      <c r="D1571" s="459"/>
      <c r="E1571" s="460"/>
      <c r="F1571" s="481" t="s">
        <v>1015</v>
      </c>
      <c r="G1571" s="518">
        <f>SUBTOTAL(9,G1569:G1570)</f>
        <v>0</v>
      </c>
      <c r="H1571" s="60"/>
    </row>
    <row r="1572" spans="1:8" ht="19.899999999999999" customHeight="1">
      <c r="A1572" s="516"/>
      <c r="B1572" s="459"/>
      <c r="C1572" s="163"/>
      <c r="D1572" s="459"/>
      <c r="E1572" s="460"/>
      <c r="F1572" s="461"/>
      <c r="G1572" s="514"/>
      <c r="H1572" s="60"/>
    </row>
    <row r="1573" spans="1:8" ht="19.899999999999999" customHeight="1">
      <c r="A1573" s="574" t="str">
        <f>B1507</f>
        <v>5.1.6</v>
      </c>
      <c r="B1573" s="571" t="str">
        <f ca="1">C1507</f>
        <v>Malla de acero</v>
      </c>
      <c r="C1573" s="459"/>
      <c r="D1573" s="459" t="s">
        <v>1831</v>
      </c>
      <c r="E1573" s="572"/>
      <c r="F1573" s="573" t="str">
        <f ca="1">"$/"&amp;G1507</f>
        <v>$/kg</v>
      </c>
      <c r="G1573" s="523">
        <f>SUBTOTAL(9,G1530:G1572)</f>
        <v>0</v>
      </c>
      <c r="H1573" s="60"/>
    </row>
    <row r="1574" spans="1:8" ht="19.899999999999999" customHeight="1">
      <c r="A1574" s="519"/>
      <c r="B1574" s="520"/>
      <c r="C1574" s="521"/>
      <c r="D1574" s="521" t="s">
        <v>2041</v>
      </c>
      <c r="E1574" s="522"/>
      <c r="F1574" s="575" t="str">
        <f ca="1">"$/"&amp;G1507</f>
        <v>$/kg</v>
      </c>
      <c r="G1574" s="523">
        <f>ROUND(G1573*Coeficiente_Paso,2)</f>
        <v>0</v>
      </c>
      <c r="H1574" s="60"/>
    </row>
    <row r="1575" spans="1:8" ht="19.899999999999999" customHeight="1">
      <c r="A1575" s="163"/>
      <c r="B1575" s="163"/>
      <c r="C1575" s="163"/>
      <c r="D1575" s="163"/>
      <c r="E1575" s="163"/>
      <c r="F1575" s="163"/>
      <c r="G1575" s="163"/>
      <c r="H1575" s="60"/>
    </row>
    <row r="1576" spans="1:8" ht="19.899999999999999" customHeight="1">
      <c r="A1576" s="687" t="s">
        <v>30</v>
      </c>
      <c r="B1576" s="688"/>
      <c r="C1576" s="688"/>
      <c r="D1576" s="688"/>
      <c r="E1576" s="688"/>
      <c r="F1576" s="688"/>
      <c r="G1576" s="689"/>
    </row>
    <row r="1577" spans="1:8" ht="19.899999999999999" customHeight="1">
      <c r="A1577" s="502" t="s">
        <v>710</v>
      </c>
      <c r="B1577" s="453" t="str">
        <f>Comitente</f>
        <v>DEPARTAMENTO DE HIDRAULICA</v>
      </c>
      <c r="C1577" s="454"/>
      <c r="D1577" s="455"/>
      <c r="E1577" s="455"/>
      <c r="F1577" s="456"/>
      <c r="G1577" s="503"/>
    </row>
    <row r="1578" spans="1:8" ht="19.899999999999999" customHeight="1">
      <c r="A1578" s="502" t="s">
        <v>711</v>
      </c>
      <c r="B1578" s="453">
        <f>Contratista</f>
        <v>0</v>
      </c>
      <c r="C1578" s="457"/>
      <c r="D1578" s="457"/>
      <c r="E1578" s="457"/>
      <c r="F1578" s="453"/>
      <c r="G1578" s="504"/>
    </row>
    <row r="1579" spans="1:8" ht="19.899999999999999" customHeight="1">
      <c r="A1579" s="502" t="s">
        <v>20</v>
      </c>
      <c r="B1579" s="453" t="str">
        <f>Obra</f>
        <v>MEJORA DE LA RED DE RIEGO DEL VALLE DE JÁCHAL</v>
      </c>
      <c r="C1579" s="457"/>
      <c r="D1579" s="457"/>
      <c r="E1579" s="457"/>
      <c r="F1579" s="453" t="s">
        <v>31</v>
      </c>
      <c r="G1579" s="504" t="str">
        <f>Fecha_Base</f>
        <v>XX/07/2020</v>
      </c>
    </row>
    <row r="1580" spans="1:8" ht="19.899999999999999" customHeight="1">
      <c r="A1580" s="505" t="s">
        <v>709</v>
      </c>
      <c r="B1580" s="458" t="str">
        <f>Ubicación</f>
        <v>JACHAL</v>
      </c>
      <c r="C1580" s="458"/>
      <c r="D1580" s="459"/>
      <c r="E1580" s="460"/>
      <c r="F1580" s="461"/>
      <c r="G1580" s="506"/>
    </row>
    <row r="1581" spans="1:8" ht="19.899999999999999" customHeight="1">
      <c r="A1581" s="505" t="s">
        <v>32</v>
      </c>
      <c r="B1581" s="462">
        <f>IFERROR(VALUE(LEFT(B1582,FIND(".",B1582)-1)),"")</f>
        <v>5</v>
      </c>
      <c r="C1581" s="163" t="str">
        <f ca="1">IFERROR(VLOOKUP(B1581,T_Computo_Presupuesto,2,FALSE),0)</f>
        <v>CANAL MATRIZ</v>
      </c>
      <c r="D1581" s="163"/>
      <c r="E1581" s="460"/>
      <c r="F1581" s="461"/>
      <c r="G1581" s="506"/>
    </row>
    <row r="1582" spans="1:8" ht="19.899999999999999" customHeight="1">
      <c r="A1582" s="505" t="s">
        <v>21</v>
      </c>
      <c r="B1582" s="463" t="str">
        <f>IFERROR(VLOOKUP(COUNTIF($A$1:A1582,"ANALISIS DE PRECIOS"),T_NumeroItem,2,FALSE),"")</f>
        <v>5.1.7</v>
      </c>
      <c r="C1582" s="690" t="str">
        <f ca="1">IFERROR(VLOOKUP(B1582,T_Computo_Presupuesto,2,FALSE),0)</f>
        <v>Hormigón armado H20</v>
      </c>
      <c r="D1582" s="690"/>
      <c r="E1582" s="690"/>
      <c r="F1582" s="458" t="s">
        <v>22</v>
      </c>
      <c r="G1582" s="507" t="str">
        <f ca="1">IFERROR(VLOOKUP(B1582,T_Computo_Presupuesto,4,FALSE),0)</f>
        <v>m3</v>
      </c>
    </row>
    <row r="1583" spans="1:8" ht="19.899999999999999" customHeight="1">
      <c r="A1583" s="505"/>
      <c r="B1583" s="458"/>
      <c r="C1583" s="163"/>
      <c r="D1583" s="459"/>
      <c r="E1583" s="460"/>
      <c r="F1583" s="163"/>
      <c r="G1583" s="508"/>
    </row>
    <row r="1584" spans="1:8" ht="19.899999999999999" customHeight="1">
      <c r="A1584" s="509"/>
      <c r="B1584" s="464"/>
      <c r="C1584" s="465" t="s">
        <v>998</v>
      </c>
      <c r="D1584" s="464"/>
      <c r="E1584" s="464"/>
      <c r="F1584" s="464"/>
      <c r="G1584" s="510"/>
    </row>
    <row r="1585" spans="1:7" ht="19.899999999999999" customHeight="1">
      <c r="A1585" s="505"/>
      <c r="B1585" s="466"/>
      <c r="C1585" s="163"/>
      <c r="D1585" s="459"/>
      <c r="E1585" s="460"/>
      <c r="F1585" s="458"/>
      <c r="G1585" s="507"/>
    </row>
    <row r="1586" spans="1:7" ht="19.899999999999999" customHeight="1">
      <c r="A1586" s="505"/>
      <c r="B1586" s="466"/>
      <c r="C1586" s="467" t="s">
        <v>999</v>
      </c>
      <c r="D1586" s="468" t="s">
        <v>23</v>
      </c>
      <c r="E1586" s="468" t="s">
        <v>1000</v>
      </c>
      <c r="F1586" s="468" t="s">
        <v>1001</v>
      </c>
      <c r="G1586" s="467" t="s">
        <v>1002</v>
      </c>
    </row>
    <row r="1587" spans="1:7" ht="19.899999999999999" customHeight="1">
      <c r="A1587" s="505"/>
      <c r="B1587" s="466"/>
      <c r="C1587" s="469"/>
      <c r="D1587" s="470"/>
      <c r="E1587" s="471">
        <f t="shared" ref="E1587:E1595" si="541">IFERROR(VLOOKUP(C1587,T_Equipos,4,FALSE),0)</f>
        <v>0</v>
      </c>
      <c r="F1587" s="472"/>
      <c r="G1587" s="472">
        <f>ROUND(D1587*F1587,2)</f>
        <v>0</v>
      </c>
    </row>
    <row r="1588" spans="1:7" ht="19.899999999999999" customHeight="1">
      <c r="A1588" s="505"/>
      <c r="B1588" s="466"/>
      <c r="C1588" s="469"/>
      <c r="D1588" s="470"/>
      <c r="E1588" s="471">
        <f t="shared" si="541"/>
        <v>0</v>
      </c>
      <c r="F1588" s="472"/>
      <c r="G1588" s="472">
        <f>ROUND(D1588*F1588,2)</f>
        <v>0</v>
      </c>
    </row>
    <row r="1589" spans="1:7" ht="19.899999999999999" customHeight="1">
      <c r="A1589" s="505"/>
      <c r="B1589" s="466"/>
      <c r="C1589" s="469"/>
      <c r="D1589" s="470"/>
      <c r="E1589" s="471">
        <f t="shared" si="541"/>
        <v>0</v>
      </c>
      <c r="F1589" s="472"/>
      <c r="G1589" s="472">
        <f>ROUND(D1589*F1589,2)</f>
        <v>0</v>
      </c>
    </row>
    <row r="1590" spans="1:7" ht="19.899999999999999" customHeight="1">
      <c r="A1590" s="505"/>
      <c r="B1590" s="466"/>
      <c r="C1590" s="469"/>
      <c r="D1590" s="470"/>
      <c r="E1590" s="471">
        <f t="shared" si="541"/>
        <v>0</v>
      </c>
      <c r="F1590" s="472"/>
      <c r="G1590" s="472">
        <f>ROUND(D1590*F1590,2)</f>
        <v>0</v>
      </c>
    </row>
    <row r="1591" spans="1:7" ht="19.899999999999999" customHeight="1">
      <c r="A1591" s="505"/>
      <c r="B1591" s="466"/>
      <c r="C1591" s="469"/>
      <c r="D1591" s="470"/>
      <c r="E1591" s="471">
        <f t="shared" si="541"/>
        <v>0</v>
      </c>
      <c r="F1591" s="472">
        <f t="shared" ref="F1591:F1596" si="542">IFERROR(VLOOKUP(C1591,T_Equipos,5,FALSE),0)</f>
        <v>0</v>
      </c>
      <c r="G1591" s="472">
        <f t="shared" ref="G1591:G1596" si="543">ROUND(D1591*F1591,2)</f>
        <v>0</v>
      </c>
    </row>
    <row r="1592" spans="1:7" ht="19.899999999999999" customHeight="1">
      <c r="A1592" s="505"/>
      <c r="B1592" s="466"/>
      <c r="C1592" s="469"/>
      <c r="D1592" s="470"/>
      <c r="E1592" s="471">
        <f t="shared" si="541"/>
        <v>0</v>
      </c>
      <c r="F1592" s="472">
        <f t="shared" si="542"/>
        <v>0</v>
      </c>
      <c r="G1592" s="472">
        <f t="shared" si="543"/>
        <v>0</v>
      </c>
    </row>
    <row r="1593" spans="1:7" ht="19.899999999999999" customHeight="1">
      <c r="A1593" s="505"/>
      <c r="B1593" s="466"/>
      <c r="C1593" s="469"/>
      <c r="D1593" s="470"/>
      <c r="E1593" s="471">
        <f t="shared" si="541"/>
        <v>0</v>
      </c>
      <c r="F1593" s="472">
        <f t="shared" si="542"/>
        <v>0</v>
      </c>
      <c r="G1593" s="472">
        <f t="shared" si="543"/>
        <v>0</v>
      </c>
    </row>
    <row r="1594" spans="1:7" ht="19.899999999999999" customHeight="1">
      <c r="A1594" s="505"/>
      <c r="B1594" s="466"/>
      <c r="C1594" s="469"/>
      <c r="D1594" s="470"/>
      <c r="E1594" s="471">
        <f t="shared" si="541"/>
        <v>0</v>
      </c>
      <c r="F1594" s="472">
        <f t="shared" si="542"/>
        <v>0</v>
      </c>
      <c r="G1594" s="472">
        <f t="shared" si="543"/>
        <v>0</v>
      </c>
    </row>
    <row r="1595" spans="1:7" ht="19.899999999999999" customHeight="1">
      <c r="A1595" s="505"/>
      <c r="B1595" s="466"/>
      <c r="C1595" s="469"/>
      <c r="D1595" s="470"/>
      <c r="E1595" s="471">
        <f t="shared" si="541"/>
        <v>0</v>
      </c>
      <c r="F1595" s="472">
        <f t="shared" si="542"/>
        <v>0</v>
      </c>
      <c r="G1595" s="472">
        <f t="shared" si="543"/>
        <v>0</v>
      </c>
    </row>
    <row r="1596" spans="1:7" ht="19.899999999999999" customHeight="1">
      <c r="A1596" s="505"/>
      <c r="B1596" s="466"/>
      <c r="C1596" s="469"/>
      <c r="D1596" s="470"/>
      <c r="E1596" s="471">
        <f t="shared" ref="E1596" si="544">IFERROR(VLOOKUP(C1596,T_Equipos,4,FALSE),0)</f>
        <v>0</v>
      </c>
      <c r="F1596" s="472">
        <f t="shared" si="542"/>
        <v>0</v>
      </c>
      <c r="G1596" s="472">
        <f t="shared" si="543"/>
        <v>0</v>
      </c>
    </row>
    <row r="1597" spans="1:7" ht="19.899999999999999" customHeight="1">
      <c r="A1597" s="505"/>
      <c r="B1597" s="466"/>
      <c r="C1597" s="163"/>
      <c r="D1597" s="163"/>
      <c r="E1597" s="473"/>
      <c r="F1597" s="458"/>
      <c r="G1597" s="507"/>
    </row>
    <row r="1598" spans="1:7" ht="19.899999999999999" customHeight="1">
      <c r="A1598" s="505"/>
      <c r="B1598" s="163"/>
      <c r="C1598" s="455" t="s">
        <v>1003</v>
      </c>
      <c r="D1598" s="458" t="s">
        <v>1000</v>
      </c>
      <c r="E1598" s="524">
        <f>SUMPRODUCT(D1587:D1596,E1587:E1596)</f>
        <v>0</v>
      </c>
      <c r="F1598" s="458" t="s">
        <v>1004</v>
      </c>
      <c r="G1598" s="525">
        <f>SUM(G1587:G1596)</f>
        <v>0</v>
      </c>
    </row>
    <row r="1599" spans="1:7" ht="19.899999999999999" customHeight="1">
      <c r="A1599" s="505"/>
      <c r="B1599" s="466"/>
      <c r="C1599" s="474"/>
      <c r="D1599" s="473"/>
      <c r="E1599" s="460"/>
      <c r="F1599" s="458"/>
      <c r="G1599" s="511"/>
    </row>
    <row r="1600" spans="1:7" ht="19.899999999999999" customHeight="1">
      <c r="A1600" s="512"/>
      <c r="B1600" s="466"/>
      <c r="C1600" s="458" t="s">
        <v>1005</v>
      </c>
      <c r="D1600" s="475"/>
      <c r="E1600" s="476" t="str">
        <f ca="1">G1582&amp;"/día"</f>
        <v>m3/día</v>
      </c>
      <c r="F1600" s="452"/>
      <c r="G1600" s="507"/>
    </row>
    <row r="1601" spans="1:7" ht="19.899999999999999" customHeight="1">
      <c r="A1601" s="505"/>
      <c r="B1601" s="466"/>
      <c r="C1601" s="163"/>
      <c r="D1601" s="459"/>
      <c r="E1601" s="460"/>
      <c r="F1601" s="458"/>
      <c r="G1601" s="507"/>
    </row>
    <row r="1602" spans="1:7" ht="19.899999999999999" customHeight="1">
      <c r="A1602" s="677" t="s">
        <v>575</v>
      </c>
      <c r="B1602" s="678"/>
      <c r="C1602" s="679" t="s">
        <v>0</v>
      </c>
      <c r="D1602" s="691" t="s">
        <v>1864</v>
      </c>
      <c r="E1602" s="691" t="s">
        <v>1863</v>
      </c>
      <c r="F1602" s="683" t="s">
        <v>1006</v>
      </c>
      <c r="G1602" s="685" t="s">
        <v>25</v>
      </c>
    </row>
    <row r="1603" spans="1:7" ht="19.899999999999999" customHeight="1">
      <c r="A1603" s="477" t="s">
        <v>576</v>
      </c>
      <c r="B1603" s="477" t="s">
        <v>577</v>
      </c>
      <c r="C1603" s="680"/>
      <c r="D1603" s="692"/>
      <c r="E1603" s="682"/>
      <c r="F1603" s="684"/>
      <c r="G1603" s="686"/>
    </row>
    <row r="1604" spans="1:7" ht="19.899999999999999" customHeight="1">
      <c r="A1604" s="513"/>
      <c r="B1604" s="163"/>
      <c r="C1604" s="455" t="s">
        <v>1007</v>
      </c>
      <c r="D1604" s="460"/>
      <c r="E1604" s="460"/>
      <c r="F1604" s="163"/>
      <c r="G1604" s="514"/>
    </row>
    <row r="1605" spans="1:7" ht="19.899999999999999" customHeight="1">
      <c r="A1605" s="515">
        <f t="shared" ref="A1605:A1610" si="545">IFERROR(VLOOKUP(C1605,T_Insumos,4,FALSE),0)</f>
        <v>0</v>
      </c>
      <c r="B1605" s="478">
        <f t="shared" ref="B1605:B1610" si="546">IFERROR(VLOOKUP(C1605,T_Insumos,5,FALSE),0)</f>
        <v>0</v>
      </c>
      <c r="C1605" s="469"/>
      <c r="D1605" s="479">
        <f t="shared" ref="D1605:D1612" si="547">IFERROR(VLOOKUP(C1605,T_Insumos,3,FALSE),0)</f>
        <v>0</v>
      </c>
      <c r="E1605" s="472">
        <f>D1605*$G$1598</f>
        <v>0</v>
      </c>
      <c r="F1605" s="475">
        <f>IF(C1605="",0,IFERROR(VLOOKUP(COUNTIF($A$1:A1605,"ANALISIS DE PRECIOS"),T_Rendimiento_Equipo,5,FALSE),0))</f>
        <v>0</v>
      </c>
      <c r="G1605" s="472">
        <f>IFERROR(ROUND(E1605/F1605,2),0)</f>
        <v>0</v>
      </c>
    </row>
    <row r="1606" spans="1:7" ht="19.899999999999999" customHeight="1">
      <c r="A1606" s="515">
        <f t="shared" si="545"/>
        <v>0</v>
      </c>
      <c r="B1606" s="478">
        <f t="shared" si="546"/>
        <v>0</v>
      </c>
      <c r="C1606" s="469"/>
      <c r="D1606" s="479">
        <f t="shared" si="547"/>
        <v>0</v>
      </c>
      <c r="E1606" s="472">
        <f t="shared" ref="E1606:E1613" si="548">D1606*$G$1598</f>
        <v>0</v>
      </c>
      <c r="F1606" s="475">
        <f>IF(C1606="",0,IFERROR(VLOOKUP(COUNTIF($A$1:A1606,"ANALISIS DE PRECIOS"),T_Rendimiento_Equipo,5,FALSE),0))</f>
        <v>0</v>
      </c>
      <c r="G1606" s="472">
        <f t="shared" ref="G1606:G1613" si="549">IFERROR(ROUND(E1606/F1606,2),0)</f>
        <v>0</v>
      </c>
    </row>
    <row r="1607" spans="1:7" ht="19.899999999999999" customHeight="1">
      <c r="A1607" s="515">
        <f t="shared" si="545"/>
        <v>0</v>
      </c>
      <c r="B1607" s="478">
        <f t="shared" si="546"/>
        <v>0</v>
      </c>
      <c r="C1607" s="480"/>
      <c r="D1607" s="479">
        <f t="shared" si="547"/>
        <v>0</v>
      </c>
      <c r="E1607" s="472">
        <f t="shared" si="548"/>
        <v>0</v>
      </c>
      <c r="F1607" s="475">
        <f>IF(C1607="",0,IFERROR(VLOOKUP(COUNTIF($A$1:A1607,"ANALISIS DE PRECIOS"),T_Rendimiento_Equipo,5,FALSE),0))</f>
        <v>0</v>
      </c>
      <c r="G1607" s="472">
        <f t="shared" si="549"/>
        <v>0</v>
      </c>
    </row>
    <row r="1608" spans="1:7" ht="19.899999999999999" customHeight="1">
      <c r="A1608" s="515">
        <f t="shared" si="545"/>
        <v>0</v>
      </c>
      <c r="B1608" s="478">
        <f t="shared" si="546"/>
        <v>0</v>
      </c>
      <c r="C1608" s="480"/>
      <c r="D1608" s="479">
        <f t="shared" si="547"/>
        <v>0</v>
      </c>
      <c r="E1608" s="472">
        <f t="shared" si="548"/>
        <v>0</v>
      </c>
      <c r="F1608" s="475">
        <f>IF(C1608="",0,IFERROR(VLOOKUP(COUNTIF($A$1:A1608,"ANALISIS DE PRECIOS"),T_Rendimiento_Equipo,5,FALSE),0))</f>
        <v>0</v>
      </c>
      <c r="G1608" s="472">
        <f t="shared" si="549"/>
        <v>0</v>
      </c>
    </row>
    <row r="1609" spans="1:7" ht="19.899999999999999" customHeight="1">
      <c r="A1609" s="515">
        <f t="shared" si="545"/>
        <v>0</v>
      </c>
      <c r="B1609" s="478">
        <f t="shared" si="546"/>
        <v>0</v>
      </c>
      <c r="C1609" s="480"/>
      <c r="D1609" s="479">
        <f t="shared" si="547"/>
        <v>0</v>
      </c>
      <c r="E1609" s="472">
        <f t="shared" si="548"/>
        <v>0</v>
      </c>
      <c r="F1609" s="475">
        <f>IF(C1609="",0,IFERROR(VLOOKUP(COUNTIF($A$1:A1609,"ANALISIS DE PRECIOS"),T_Rendimiento_Equipo,5,FALSE),0))</f>
        <v>0</v>
      </c>
      <c r="G1609" s="472">
        <f t="shared" si="549"/>
        <v>0</v>
      </c>
    </row>
    <row r="1610" spans="1:7" ht="19.899999999999999" customHeight="1">
      <c r="A1610" s="515">
        <f t="shared" si="545"/>
        <v>0</v>
      </c>
      <c r="B1610" s="478">
        <f t="shared" si="546"/>
        <v>0</v>
      </c>
      <c r="C1610" s="480"/>
      <c r="D1610" s="479">
        <f t="shared" si="547"/>
        <v>0</v>
      </c>
      <c r="E1610" s="472">
        <f t="shared" si="548"/>
        <v>0</v>
      </c>
      <c r="F1610" s="475">
        <f>IF(C1610="",0,IFERROR(VLOOKUP(COUNTIF($A$1:A1610,"ANALISIS DE PRECIOS"),T_Rendimiento_Equipo,5,FALSE),0))</f>
        <v>0</v>
      </c>
      <c r="G1610" s="472">
        <f t="shared" si="549"/>
        <v>0</v>
      </c>
    </row>
    <row r="1611" spans="1:7" ht="19.899999999999999" customHeight="1">
      <c r="A1611" s="515">
        <f t="shared" ref="A1611:A1613" si="550">IFERROR(VLOOKUP(C1611,T_Insumos,4,FALSE),0)</f>
        <v>0</v>
      </c>
      <c r="B1611" s="478">
        <f t="shared" ref="B1611:B1613" si="551">IFERROR(VLOOKUP(C1611,T_Insumos,5,FALSE),0)</f>
        <v>0</v>
      </c>
      <c r="C1611" s="480"/>
      <c r="D1611" s="479">
        <f t="shared" si="547"/>
        <v>0</v>
      </c>
      <c r="E1611" s="472">
        <f t="shared" si="548"/>
        <v>0</v>
      </c>
      <c r="F1611" s="475">
        <f>IF(C1611="",0,IFERROR(VLOOKUP(COUNTIF($A$1:A1611,"ANALISIS DE PRECIOS"),T_Rendimiento_Equipo,5,FALSE),0))</f>
        <v>0</v>
      </c>
      <c r="G1611" s="472">
        <f t="shared" si="549"/>
        <v>0</v>
      </c>
    </row>
    <row r="1612" spans="1:7" ht="19.899999999999999" customHeight="1">
      <c r="A1612" s="515">
        <f t="shared" si="550"/>
        <v>0</v>
      </c>
      <c r="B1612" s="478">
        <f t="shared" si="551"/>
        <v>0</v>
      </c>
      <c r="C1612" s="480"/>
      <c r="D1612" s="479">
        <f t="shared" si="547"/>
        <v>0</v>
      </c>
      <c r="E1612" s="472">
        <f t="shared" si="548"/>
        <v>0</v>
      </c>
      <c r="F1612" s="475">
        <f>IF(C1612="",0,IFERROR(VLOOKUP(COUNTIF($A$1:A1612,"ANALISIS DE PRECIOS"),T_Rendimiento_Equipo,5,FALSE),0))</f>
        <v>0</v>
      </c>
      <c r="G1612" s="472">
        <f t="shared" si="549"/>
        <v>0</v>
      </c>
    </row>
    <row r="1613" spans="1:7" ht="19.899999999999999" customHeight="1">
      <c r="A1613" s="515">
        <f t="shared" si="550"/>
        <v>0</v>
      </c>
      <c r="B1613" s="478">
        <f t="shared" si="551"/>
        <v>0</v>
      </c>
      <c r="C1613" s="469"/>
      <c r="D1613" s="479">
        <f t="shared" ref="D1613" si="552">IFERROR(VLOOKUP(C1613,T_Insumos,3,FALSE),0)</f>
        <v>0</v>
      </c>
      <c r="E1613" s="472">
        <f t="shared" si="548"/>
        <v>0</v>
      </c>
      <c r="F1613" s="475">
        <f>IF(C1613="",0,IFERROR(VLOOKUP(COUNTIF($A$1:A1613,"ANALISIS DE PRECIOS"),T_Rendimiento_Equipo,5,FALSE),0))</f>
        <v>0</v>
      </c>
      <c r="G1613" s="472">
        <f t="shared" si="549"/>
        <v>0</v>
      </c>
    </row>
    <row r="1614" spans="1:7" ht="19.899999999999999" customHeight="1">
      <c r="A1614" s="516"/>
      <c r="B1614" s="459"/>
      <c r="C1614" s="163"/>
      <c r="D1614" s="459"/>
      <c r="E1614" s="460"/>
      <c r="F1614" s="481" t="s">
        <v>26</v>
      </c>
      <c r="G1614" s="517">
        <f>SUBTOTAL(9,G1605:G1613)</f>
        <v>0</v>
      </c>
    </row>
    <row r="1615" spans="1:7" ht="19.899999999999999" customHeight="1">
      <c r="A1615" s="513"/>
      <c r="B1615" s="163"/>
      <c r="C1615" s="455" t="s">
        <v>712</v>
      </c>
      <c r="D1615" s="459"/>
      <c r="E1615" s="460"/>
      <c r="F1615" s="461"/>
      <c r="G1615" s="514"/>
    </row>
    <row r="1616" spans="1:7" ht="19.899999999999999" customHeight="1">
      <c r="A1616" s="677" t="s">
        <v>575</v>
      </c>
      <c r="B1616" s="678"/>
      <c r="C1616" s="679" t="s">
        <v>0</v>
      </c>
      <c r="D1616" s="681" t="s">
        <v>23</v>
      </c>
      <c r="E1616" s="681" t="s">
        <v>1830</v>
      </c>
      <c r="F1616" s="683" t="s">
        <v>1006</v>
      </c>
      <c r="G1616" s="685" t="s">
        <v>25</v>
      </c>
    </row>
    <row r="1617" spans="1:7" ht="19.899999999999999" customHeight="1">
      <c r="A1617" s="477" t="s">
        <v>576</v>
      </c>
      <c r="B1617" s="477" t="s">
        <v>577</v>
      </c>
      <c r="C1617" s="680"/>
      <c r="D1617" s="682"/>
      <c r="E1617" s="682"/>
      <c r="F1617" s="684"/>
      <c r="G1617" s="686"/>
    </row>
    <row r="1618" spans="1:7" ht="19.899999999999999" customHeight="1">
      <c r="A1618" s="515">
        <f t="shared" ref="A1618:A1623" si="553">IFERROR(VLOOKUP(C1618,T_Insumos,4,FALSE),0)</f>
        <v>0</v>
      </c>
      <c r="B1618" s="478">
        <f t="shared" ref="B1618:B1623" si="554">IFERROR(VLOOKUP(C1618,T_Insumos,5,FALSE),0)</f>
        <v>0</v>
      </c>
      <c r="C1618" s="482"/>
      <c r="D1618" s="475"/>
      <c r="E1618" s="472">
        <f t="shared" ref="E1618:E1623" si="555">IFERROR(VLOOKUP(C1618,T_Insumos,3,FALSE),0)</f>
        <v>0</v>
      </c>
      <c r="F1618" s="475">
        <f>IF(C1618="",0,IFERROR(VLOOKUP(COUNTIF($A$1:A1618,"ANALISIS DE PRECIOS"),T_Rendimiento_Equipo,5,FALSE),0))</f>
        <v>0</v>
      </c>
      <c r="G1618" s="472">
        <f>IFERROR(ROUND(D1618*E1618/F1618,2),0)</f>
        <v>0</v>
      </c>
    </row>
    <row r="1619" spans="1:7" ht="19.899999999999999" customHeight="1">
      <c r="A1619" s="515">
        <f t="shared" si="553"/>
        <v>0</v>
      </c>
      <c r="B1619" s="478">
        <f t="shared" si="554"/>
        <v>0</v>
      </c>
      <c r="C1619" s="469"/>
      <c r="D1619" s="475"/>
      <c r="E1619" s="472">
        <f t="shared" si="555"/>
        <v>0</v>
      </c>
      <c r="F1619" s="475">
        <f>IF(C1619="",0,IFERROR(VLOOKUP(COUNTIF($A$1:A1619,"ANALISIS DE PRECIOS"),T_Rendimiento_Equipo,5,FALSE),0))</f>
        <v>0</v>
      </c>
      <c r="G1619" s="472">
        <f t="shared" ref="G1619:G1624" si="556">IFERROR(ROUND(D1619*E1619/F1619,2),0)</f>
        <v>0</v>
      </c>
    </row>
    <row r="1620" spans="1:7" ht="19.899999999999999" customHeight="1">
      <c r="A1620" s="515">
        <f t="shared" si="553"/>
        <v>0</v>
      </c>
      <c r="B1620" s="478">
        <f t="shared" si="554"/>
        <v>0</v>
      </c>
      <c r="C1620" s="469"/>
      <c r="D1620" s="475"/>
      <c r="E1620" s="472">
        <f t="shared" si="555"/>
        <v>0</v>
      </c>
      <c r="F1620" s="475">
        <f>IF(C1620="",0,IFERROR(VLOOKUP(COUNTIF($A$1:A1620,"ANALISIS DE PRECIOS"),T_Rendimiento_Equipo,5,FALSE),0))</f>
        <v>0</v>
      </c>
      <c r="G1620" s="472">
        <f t="shared" si="556"/>
        <v>0</v>
      </c>
    </row>
    <row r="1621" spans="1:7" ht="19.899999999999999" customHeight="1">
      <c r="A1621" s="515">
        <f t="shared" si="553"/>
        <v>0</v>
      </c>
      <c r="B1621" s="478">
        <f t="shared" si="554"/>
        <v>0</v>
      </c>
      <c r="C1621" s="469"/>
      <c r="D1621" s="475"/>
      <c r="E1621" s="472">
        <f t="shared" si="555"/>
        <v>0</v>
      </c>
      <c r="F1621" s="475">
        <f>IF(C1621="",0,IFERROR(VLOOKUP(COUNTIF($A$1:A1621,"ANALISIS DE PRECIOS"),T_Rendimiento_Equipo,5,FALSE),0))</f>
        <v>0</v>
      </c>
      <c r="G1621" s="472">
        <f t="shared" si="556"/>
        <v>0</v>
      </c>
    </row>
    <row r="1622" spans="1:7" ht="19.899999999999999" customHeight="1">
      <c r="A1622" s="515">
        <f t="shared" si="553"/>
        <v>0</v>
      </c>
      <c r="B1622" s="478">
        <f t="shared" si="554"/>
        <v>0</v>
      </c>
      <c r="C1622" s="469"/>
      <c r="D1622" s="475"/>
      <c r="E1622" s="472">
        <f t="shared" si="555"/>
        <v>0</v>
      </c>
      <c r="F1622" s="475">
        <f>IF(C1622="",0,IFERROR(VLOOKUP(COUNTIF($A$1:A1622,"ANALISIS DE PRECIOS"),T_Rendimiento_Equipo,5,FALSE),0))</f>
        <v>0</v>
      </c>
      <c r="G1622" s="472">
        <f t="shared" si="556"/>
        <v>0</v>
      </c>
    </row>
    <row r="1623" spans="1:7" ht="19.899999999999999" customHeight="1">
      <c r="A1623" s="515">
        <f t="shared" si="553"/>
        <v>0</v>
      </c>
      <c r="B1623" s="478">
        <f t="shared" si="554"/>
        <v>0</v>
      </c>
      <c r="C1623" s="469"/>
      <c r="D1623" s="483"/>
      <c r="E1623" s="472">
        <f t="shared" si="555"/>
        <v>0</v>
      </c>
      <c r="F1623" s="475">
        <f>IF(C1623="",0,IFERROR(VLOOKUP(COUNTIF($A$1:A1623,"ANALISIS DE PRECIOS"),T_Rendimiento_Equipo,5,FALSE),0))</f>
        <v>0</v>
      </c>
      <c r="G1623" s="472">
        <f t="shared" si="556"/>
        <v>0</v>
      </c>
    </row>
    <row r="1624" spans="1:7" ht="19.899999999999999" customHeight="1">
      <c r="A1624" s="515">
        <f t="shared" ref="A1624" si="557">IFERROR(VLOOKUP(C1624,T_Insumos,4,FALSE),0)</f>
        <v>0</v>
      </c>
      <c r="B1624" s="478">
        <f t="shared" ref="B1624" si="558">IFERROR(VLOOKUP(C1624,T_Insumos,5,FALSE),0)</f>
        <v>0</v>
      </c>
      <c r="C1624" s="478"/>
      <c r="D1624" s="484"/>
      <c r="E1624" s="472">
        <f t="shared" ref="E1624" si="559">IFERROR(VLOOKUP(C1624,T_Insumos,3,FALSE),0)</f>
        <v>0</v>
      </c>
      <c r="F1624" s="475">
        <f>IF(C1624="",0,IFERROR(VLOOKUP(COUNTIF($A$1:A1624,"ANALISIS DE PRECIOS"),T_Rendimiento_Equipo,5,FALSE),0))</f>
        <v>0</v>
      </c>
      <c r="G1624" s="472">
        <f t="shared" si="556"/>
        <v>0</v>
      </c>
    </row>
    <row r="1625" spans="1:7" ht="19.899999999999999" customHeight="1">
      <c r="A1625" s="516"/>
      <c r="B1625" s="459"/>
      <c r="C1625" s="163"/>
      <c r="D1625" s="459"/>
      <c r="E1625" s="460"/>
      <c r="F1625" s="481" t="s">
        <v>27</v>
      </c>
      <c r="G1625" s="518">
        <f>SUBTOTAL(9,G1618:G1624)</f>
        <v>0</v>
      </c>
    </row>
    <row r="1626" spans="1:7" ht="19.899999999999999" customHeight="1">
      <c r="A1626" s="513"/>
      <c r="B1626" s="163"/>
      <c r="C1626" s="455" t="s">
        <v>1013</v>
      </c>
      <c r="D1626" s="459"/>
      <c r="E1626" s="460"/>
      <c r="F1626" s="461"/>
      <c r="G1626" s="514"/>
    </row>
    <row r="1627" spans="1:7" ht="19.899999999999999" customHeight="1">
      <c r="A1627" s="677" t="s">
        <v>575</v>
      </c>
      <c r="B1627" s="678"/>
      <c r="C1627" s="679" t="s">
        <v>0</v>
      </c>
      <c r="D1627" s="679" t="s">
        <v>1865</v>
      </c>
      <c r="E1627" s="681" t="s">
        <v>23</v>
      </c>
      <c r="F1627" s="683" t="s">
        <v>24</v>
      </c>
      <c r="G1627" s="685" t="s">
        <v>25</v>
      </c>
    </row>
    <row r="1628" spans="1:7" ht="19.899999999999999" customHeight="1">
      <c r="A1628" s="477" t="s">
        <v>576</v>
      </c>
      <c r="B1628" s="477" t="s">
        <v>577</v>
      </c>
      <c r="C1628" s="680"/>
      <c r="D1628" s="680"/>
      <c r="E1628" s="682"/>
      <c r="F1628" s="684"/>
      <c r="G1628" s="686"/>
    </row>
    <row r="1629" spans="1:7" ht="19.899999999999999" customHeight="1">
      <c r="A1629" s="515">
        <f t="shared" ref="A1629:A1638" si="560">IFERROR(VLOOKUP(C1629,T_Insumos,4,FALSE),0)</f>
        <v>0</v>
      </c>
      <c r="B1629" s="478">
        <f t="shared" ref="B1629:B1638" si="561">IFERROR(VLOOKUP(C1629,T_Insumos,5,FALSE),0)</f>
        <v>0</v>
      </c>
      <c r="C1629" s="478"/>
      <c r="D1629" s="526">
        <f t="shared" ref="D1629:D1638" si="562">IFERROR(VLOOKUP(C1629,T_Insumos,2,FALSE),0)</f>
        <v>0</v>
      </c>
      <c r="E1629" s="470"/>
      <c r="F1629" s="472">
        <f t="shared" ref="F1629:F1638" si="563">IFERROR(VLOOKUP(C1629,T_Insumos,3,FALSE),0)</f>
        <v>0</v>
      </c>
      <c r="G1629" s="472">
        <f>ROUND(E1629*F1629,2)</f>
        <v>0</v>
      </c>
    </row>
    <row r="1630" spans="1:7" ht="19.899999999999999" customHeight="1">
      <c r="A1630" s="515">
        <f t="shared" si="560"/>
        <v>0</v>
      </c>
      <c r="B1630" s="478">
        <f t="shared" si="561"/>
        <v>0</v>
      </c>
      <c r="C1630" s="478"/>
      <c r="D1630" s="526">
        <f t="shared" si="562"/>
        <v>0</v>
      </c>
      <c r="E1630" s="470"/>
      <c r="F1630" s="472">
        <f t="shared" si="563"/>
        <v>0</v>
      </c>
      <c r="G1630" s="472">
        <f t="shared" ref="G1630:G1639" si="564">ROUND(E1630*F1630,2)</f>
        <v>0</v>
      </c>
    </row>
    <row r="1631" spans="1:7" ht="19.899999999999999" customHeight="1">
      <c r="A1631" s="515">
        <f t="shared" si="560"/>
        <v>0</v>
      </c>
      <c r="B1631" s="478">
        <f t="shared" si="561"/>
        <v>0</v>
      </c>
      <c r="C1631" s="478"/>
      <c r="D1631" s="526">
        <f t="shared" si="562"/>
        <v>0</v>
      </c>
      <c r="E1631" s="470"/>
      <c r="F1631" s="472">
        <f t="shared" si="563"/>
        <v>0</v>
      </c>
      <c r="G1631" s="472">
        <f t="shared" si="564"/>
        <v>0</v>
      </c>
    </row>
    <row r="1632" spans="1:7" ht="19.899999999999999" customHeight="1">
      <c r="A1632" s="515">
        <f t="shared" si="560"/>
        <v>0</v>
      </c>
      <c r="B1632" s="478">
        <f t="shared" si="561"/>
        <v>0</v>
      </c>
      <c r="C1632" s="478"/>
      <c r="D1632" s="526">
        <f t="shared" si="562"/>
        <v>0</v>
      </c>
      <c r="E1632" s="470"/>
      <c r="F1632" s="472">
        <f t="shared" si="563"/>
        <v>0</v>
      </c>
      <c r="G1632" s="472">
        <f t="shared" si="564"/>
        <v>0</v>
      </c>
    </row>
    <row r="1633" spans="1:7" ht="19.899999999999999" customHeight="1">
      <c r="A1633" s="515">
        <f t="shared" si="560"/>
        <v>0</v>
      </c>
      <c r="B1633" s="478">
        <f t="shared" si="561"/>
        <v>0</v>
      </c>
      <c r="C1633" s="478"/>
      <c r="D1633" s="526">
        <f t="shared" si="562"/>
        <v>0</v>
      </c>
      <c r="E1633" s="470"/>
      <c r="F1633" s="472">
        <f t="shared" si="563"/>
        <v>0</v>
      </c>
      <c r="G1633" s="472">
        <f t="shared" si="564"/>
        <v>0</v>
      </c>
    </row>
    <row r="1634" spans="1:7" ht="19.899999999999999" customHeight="1">
      <c r="A1634" s="515">
        <f t="shared" si="560"/>
        <v>0</v>
      </c>
      <c r="B1634" s="478">
        <f t="shared" si="561"/>
        <v>0</v>
      </c>
      <c r="C1634" s="478"/>
      <c r="D1634" s="526">
        <f t="shared" si="562"/>
        <v>0</v>
      </c>
      <c r="E1634" s="470"/>
      <c r="F1634" s="472">
        <f t="shared" si="563"/>
        <v>0</v>
      </c>
      <c r="G1634" s="472">
        <f t="shared" si="564"/>
        <v>0</v>
      </c>
    </row>
    <row r="1635" spans="1:7" ht="19.899999999999999" customHeight="1">
      <c r="A1635" s="515">
        <f t="shared" si="560"/>
        <v>0</v>
      </c>
      <c r="B1635" s="478">
        <f t="shared" si="561"/>
        <v>0</v>
      </c>
      <c r="C1635" s="478"/>
      <c r="D1635" s="526">
        <f t="shared" si="562"/>
        <v>0</v>
      </c>
      <c r="E1635" s="470"/>
      <c r="F1635" s="472">
        <f t="shared" si="563"/>
        <v>0</v>
      </c>
      <c r="G1635" s="472">
        <f t="shared" si="564"/>
        <v>0</v>
      </c>
    </row>
    <row r="1636" spans="1:7" ht="19.899999999999999" customHeight="1">
      <c r="A1636" s="515">
        <f t="shared" si="560"/>
        <v>0</v>
      </c>
      <c r="B1636" s="478">
        <f t="shared" si="561"/>
        <v>0</v>
      </c>
      <c r="C1636" s="478"/>
      <c r="D1636" s="526">
        <f t="shared" si="562"/>
        <v>0</v>
      </c>
      <c r="E1636" s="470"/>
      <c r="F1636" s="472">
        <f t="shared" si="563"/>
        <v>0</v>
      </c>
      <c r="G1636" s="472">
        <f t="shared" si="564"/>
        <v>0</v>
      </c>
    </row>
    <row r="1637" spans="1:7" ht="19.899999999999999" customHeight="1">
      <c r="A1637" s="515">
        <f t="shared" si="560"/>
        <v>0</v>
      </c>
      <c r="B1637" s="478">
        <f t="shared" si="561"/>
        <v>0</v>
      </c>
      <c r="C1637" s="478"/>
      <c r="D1637" s="526">
        <f t="shared" si="562"/>
        <v>0</v>
      </c>
      <c r="E1637" s="470"/>
      <c r="F1637" s="472">
        <f t="shared" si="563"/>
        <v>0</v>
      </c>
      <c r="G1637" s="472">
        <f t="shared" si="564"/>
        <v>0</v>
      </c>
    </row>
    <row r="1638" spans="1:7" ht="19.899999999999999" customHeight="1">
      <c r="A1638" s="515">
        <f t="shared" si="560"/>
        <v>0</v>
      </c>
      <c r="B1638" s="478">
        <f t="shared" si="561"/>
        <v>0</v>
      </c>
      <c r="C1638" s="478"/>
      <c r="D1638" s="526">
        <f t="shared" si="562"/>
        <v>0</v>
      </c>
      <c r="E1638" s="470"/>
      <c r="F1638" s="472">
        <f t="shared" si="563"/>
        <v>0</v>
      </c>
      <c r="G1638" s="472">
        <f t="shared" si="564"/>
        <v>0</v>
      </c>
    </row>
    <row r="1639" spans="1:7" ht="19.899999999999999" customHeight="1">
      <c r="A1639" s="515">
        <f t="shared" ref="A1639" si="565">IFERROR(VLOOKUP(C1639,T_Insumos,4,FALSE),0)</f>
        <v>0</v>
      </c>
      <c r="B1639" s="478">
        <f t="shared" ref="B1639" si="566">IFERROR(VLOOKUP(C1639,T_Insumos,5,FALSE),0)</f>
        <v>0</v>
      </c>
      <c r="C1639" s="478"/>
      <c r="D1639" s="526">
        <f t="shared" ref="D1639" si="567">IFERROR(VLOOKUP(C1639,T_Insumos,2,FALSE),0)</f>
        <v>0</v>
      </c>
      <c r="E1639" s="470"/>
      <c r="F1639" s="472">
        <f t="shared" ref="F1639" si="568">IFERROR(VLOOKUP(C1639,T_Insumos,3,FALSE),0)</f>
        <v>0</v>
      </c>
      <c r="G1639" s="472">
        <f t="shared" si="564"/>
        <v>0</v>
      </c>
    </row>
    <row r="1640" spans="1:7" ht="19.899999999999999" customHeight="1">
      <c r="A1640" s="513"/>
      <c r="B1640" s="163"/>
      <c r="C1640" s="163"/>
      <c r="D1640" s="459"/>
      <c r="E1640" s="460"/>
      <c r="F1640" s="481" t="s">
        <v>28</v>
      </c>
      <c r="G1640" s="518">
        <f>SUBTOTAL(9,G1629:G1639)</f>
        <v>0</v>
      </c>
    </row>
    <row r="1641" spans="1:7" ht="19.899999999999999" customHeight="1">
      <c r="A1641" s="513"/>
      <c r="B1641" s="163"/>
      <c r="C1641" s="455" t="s">
        <v>1014</v>
      </c>
      <c r="D1641" s="459"/>
      <c r="E1641" s="460"/>
      <c r="F1641" s="461"/>
      <c r="G1641" s="514"/>
    </row>
    <row r="1642" spans="1:7" ht="19.899999999999999" customHeight="1">
      <c r="A1642" s="677" t="s">
        <v>575</v>
      </c>
      <c r="B1642" s="678"/>
      <c r="C1642" s="679" t="s">
        <v>0</v>
      </c>
      <c r="D1642" s="679" t="s">
        <v>1865</v>
      </c>
      <c r="E1642" s="681" t="s">
        <v>23</v>
      </c>
      <c r="F1642" s="683" t="s">
        <v>24</v>
      </c>
      <c r="G1642" s="685" t="s">
        <v>25</v>
      </c>
    </row>
    <row r="1643" spans="1:7" ht="19.899999999999999" customHeight="1">
      <c r="A1643" s="477" t="s">
        <v>576</v>
      </c>
      <c r="B1643" s="477" t="s">
        <v>577</v>
      </c>
      <c r="C1643" s="680"/>
      <c r="D1643" s="680"/>
      <c r="E1643" s="682"/>
      <c r="F1643" s="684"/>
      <c r="G1643" s="686"/>
    </row>
    <row r="1644" spans="1:7" ht="19.899999999999999" customHeight="1">
      <c r="A1644" s="515">
        <f>IFERROR(VLOOKUP(C1644,T_Insumos,4,FALSE),0)</f>
        <v>0</v>
      </c>
      <c r="B1644" s="478">
        <f>IFERROR(VLOOKUP(C1644,T_Insumos,5,FALSE),0)</f>
        <v>0</v>
      </c>
      <c r="C1644" s="469"/>
      <c r="D1644" s="526">
        <f>IF(C1644=0,0,"$/tnkm")</f>
        <v>0</v>
      </c>
      <c r="E1644" s="470"/>
      <c r="F1644" s="472">
        <f>IFERROR(VLOOKUP(C1644,T_Insumos,3,FALSE),0)</f>
        <v>0</v>
      </c>
      <c r="G1644" s="472">
        <f>ROUND(E1644*F1644,2)</f>
        <v>0</v>
      </c>
    </row>
    <row r="1645" spans="1:7" ht="19.899999999999999" customHeight="1">
      <c r="A1645" s="515">
        <f>IFERROR(VLOOKUP(C1645,T_Insumos,4,FALSE),0)</f>
        <v>0</v>
      </c>
      <c r="B1645" s="478">
        <f>IFERROR(VLOOKUP(C1645,T_Insumos,5,FALSE),0)</f>
        <v>0</v>
      </c>
      <c r="C1645" s="469"/>
      <c r="D1645" s="526">
        <f>IF(C1645=0,0,"$/tnkm")</f>
        <v>0</v>
      </c>
      <c r="E1645" s="486"/>
      <c r="F1645" s="472">
        <f>IFERROR(VLOOKUP(C1645,T_Insumos,3,FALSE),0)</f>
        <v>0</v>
      </c>
      <c r="G1645" s="472">
        <f t="shared" ref="G1645" si="569">ROUND(E1645*F1645,2)</f>
        <v>0</v>
      </c>
    </row>
    <row r="1646" spans="1:7" ht="19.899999999999999" customHeight="1">
      <c r="A1646" s="513"/>
      <c r="B1646" s="163"/>
      <c r="C1646" s="163"/>
      <c r="D1646" s="459"/>
      <c r="E1646" s="460"/>
      <c r="F1646" s="481" t="s">
        <v>1015</v>
      </c>
      <c r="G1646" s="518">
        <f>SUBTOTAL(9,G1644:G1645)</f>
        <v>0</v>
      </c>
    </row>
    <row r="1647" spans="1:7" ht="19.899999999999999" customHeight="1">
      <c r="A1647" s="516"/>
      <c r="B1647" s="459"/>
      <c r="C1647" s="163"/>
      <c r="D1647" s="459"/>
      <c r="E1647" s="460"/>
      <c r="F1647" s="461"/>
      <c r="G1647" s="514"/>
    </row>
    <row r="1648" spans="1:7" ht="19.899999999999999" customHeight="1">
      <c r="A1648" s="574" t="str">
        <f>B1582</f>
        <v>5.1.7</v>
      </c>
      <c r="B1648" s="571" t="str">
        <f ca="1">C1582</f>
        <v>Hormigón armado H20</v>
      </c>
      <c r="C1648" s="459"/>
      <c r="D1648" s="459" t="s">
        <v>1831</v>
      </c>
      <c r="E1648" s="572"/>
      <c r="F1648" s="573" t="str">
        <f ca="1">"$/"&amp;G1582</f>
        <v>$/m3</v>
      </c>
      <c r="G1648" s="523">
        <f>SUBTOTAL(9,G1605:G1647)</f>
        <v>0</v>
      </c>
    </row>
    <row r="1649" spans="1:7" ht="19.899999999999999" customHeight="1">
      <c r="A1649" s="519"/>
      <c r="B1649" s="520"/>
      <c r="C1649" s="521"/>
      <c r="D1649" s="521" t="s">
        <v>2041</v>
      </c>
      <c r="E1649" s="522"/>
      <c r="F1649" s="575" t="str">
        <f ca="1">"$/"&amp;G1582</f>
        <v>$/m3</v>
      </c>
      <c r="G1649" s="523">
        <f>ROUND(G1648*Coeficiente_Paso,2)</f>
        <v>0</v>
      </c>
    </row>
    <row r="1650" spans="1:7" ht="19.899999999999999" customHeight="1">
      <c r="A1650" s="163"/>
      <c r="B1650" s="163"/>
      <c r="C1650" s="163"/>
      <c r="D1650" s="163"/>
      <c r="E1650" s="163"/>
      <c r="F1650" s="163"/>
      <c r="G1650" s="163"/>
    </row>
    <row r="1651" spans="1:7" ht="19.899999999999999" customHeight="1">
      <c r="A1651" s="687" t="s">
        <v>30</v>
      </c>
      <c r="B1651" s="688"/>
      <c r="C1651" s="688"/>
      <c r="D1651" s="688"/>
      <c r="E1651" s="688"/>
      <c r="F1651" s="688"/>
      <c r="G1651" s="689"/>
    </row>
    <row r="1652" spans="1:7" ht="19.899999999999999" customHeight="1">
      <c r="A1652" s="502" t="s">
        <v>710</v>
      </c>
      <c r="B1652" s="453" t="str">
        <f>Comitente</f>
        <v>DEPARTAMENTO DE HIDRAULICA</v>
      </c>
      <c r="C1652" s="454"/>
      <c r="D1652" s="455"/>
      <c r="E1652" s="455"/>
      <c r="F1652" s="456"/>
      <c r="G1652" s="503"/>
    </row>
    <row r="1653" spans="1:7" ht="19.899999999999999" customHeight="1">
      <c r="A1653" s="502" t="s">
        <v>711</v>
      </c>
      <c r="B1653" s="453">
        <f>Contratista</f>
        <v>0</v>
      </c>
      <c r="C1653" s="457"/>
      <c r="D1653" s="457"/>
      <c r="E1653" s="457"/>
      <c r="F1653" s="453"/>
      <c r="G1653" s="504"/>
    </row>
    <row r="1654" spans="1:7" ht="19.899999999999999" customHeight="1">
      <c r="A1654" s="502" t="s">
        <v>20</v>
      </c>
      <c r="B1654" s="453" t="str">
        <f>Obra</f>
        <v>MEJORA DE LA RED DE RIEGO DEL VALLE DE JÁCHAL</v>
      </c>
      <c r="C1654" s="457"/>
      <c r="D1654" s="457"/>
      <c r="E1654" s="457"/>
      <c r="F1654" s="453" t="s">
        <v>31</v>
      </c>
      <c r="G1654" s="504" t="str">
        <f>Fecha_Base</f>
        <v>XX/07/2020</v>
      </c>
    </row>
    <row r="1655" spans="1:7" ht="19.899999999999999" customHeight="1">
      <c r="A1655" s="505" t="s">
        <v>709</v>
      </c>
      <c r="B1655" s="458" t="str">
        <f>Ubicación</f>
        <v>JACHAL</v>
      </c>
      <c r="C1655" s="458"/>
      <c r="D1655" s="459"/>
      <c r="E1655" s="460"/>
      <c r="F1655" s="461"/>
      <c r="G1655" s="506"/>
    </row>
    <row r="1656" spans="1:7" ht="19.899999999999999" customHeight="1">
      <c r="A1656" s="505" t="s">
        <v>32</v>
      </c>
      <c r="B1656" s="462">
        <f>IFERROR(VALUE(LEFT(B1657,FIND(".",B1657)-1)),"")</f>
        <v>5</v>
      </c>
      <c r="C1656" s="163" t="str">
        <f ca="1">IFERROR(VLOOKUP(B1656,T_Computo_Presupuesto,2,FALSE),0)</f>
        <v>CANAL MATRIZ</v>
      </c>
      <c r="D1656" s="163"/>
      <c r="E1656" s="460"/>
      <c r="F1656" s="461"/>
      <c r="G1656" s="506"/>
    </row>
    <row r="1657" spans="1:7" ht="19.899999999999999" customHeight="1">
      <c r="A1657" s="505" t="s">
        <v>21</v>
      </c>
      <c r="B1657" s="463" t="str">
        <f>IFERROR(VLOOKUP(COUNTIF($A$1:A1657,"ANALISIS DE PRECIOS"),T_NumeroItem,2,FALSE),"")</f>
        <v>5.2.1</v>
      </c>
      <c r="C1657" s="690" t="str">
        <f ca="1">IFERROR(VLOOKUP(B1657,T_Computo_Presupuesto,2,FALSE),0)</f>
        <v>Rehabilitacion camino de servicio</v>
      </c>
      <c r="D1657" s="690"/>
      <c r="E1657" s="690"/>
      <c r="F1657" s="458" t="s">
        <v>22</v>
      </c>
      <c r="G1657" s="507" t="str">
        <f ca="1">IFERROR(VLOOKUP(B1657,T_Computo_Presupuesto,4,FALSE),0)</f>
        <v>m</v>
      </c>
    </row>
    <row r="1658" spans="1:7" ht="19.899999999999999" customHeight="1">
      <c r="A1658" s="505"/>
      <c r="B1658" s="458"/>
      <c r="C1658" s="163"/>
      <c r="D1658" s="459"/>
      <c r="E1658" s="460"/>
      <c r="F1658" s="163"/>
      <c r="G1658" s="508"/>
    </row>
    <row r="1659" spans="1:7" ht="19.899999999999999" customHeight="1">
      <c r="A1659" s="509"/>
      <c r="B1659" s="464"/>
      <c r="C1659" s="465" t="s">
        <v>998</v>
      </c>
      <c r="D1659" s="464"/>
      <c r="E1659" s="464"/>
      <c r="F1659" s="464"/>
      <c r="G1659" s="510"/>
    </row>
    <row r="1660" spans="1:7" ht="19.899999999999999" customHeight="1">
      <c r="A1660" s="505"/>
      <c r="B1660" s="466"/>
      <c r="C1660" s="163"/>
      <c r="D1660" s="459"/>
      <c r="E1660" s="460"/>
      <c r="F1660" s="458"/>
      <c r="G1660" s="507"/>
    </row>
    <row r="1661" spans="1:7" ht="19.899999999999999" customHeight="1">
      <c r="A1661" s="505"/>
      <c r="B1661" s="466"/>
      <c r="C1661" s="467" t="s">
        <v>999</v>
      </c>
      <c r="D1661" s="468" t="s">
        <v>23</v>
      </c>
      <c r="E1661" s="468" t="s">
        <v>1000</v>
      </c>
      <c r="F1661" s="468" t="s">
        <v>1001</v>
      </c>
      <c r="G1661" s="467" t="s">
        <v>1002</v>
      </c>
    </row>
    <row r="1662" spans="1:7" ht="19.899999999999999" customHeight="1">
      <c r="A1662" s="505"/>
      <c r="B1662" s="466"/>
      <c r="C1662" s="469"/>
      <c r="D1662" s="470"/>
      <c r="E1662" s="471"/>
      <c r="F1662" s="472"/>
      <c r="G1662" s="472">
        <f>ROUND(D1662*F1662,2)</f>
        <v>0</v>
      </c>
    </row>
    <row r="1663" spans="1:7" ht="19.899999999999999" customHeight="1">
      <c r="A1663" s="505"/>
      <c r="B1663" s="466"/>
      <c r="C1663" s="469"/>
      <c r="D1663" s="470"/>
      <c r="E1663" s="471"/>
      <c r="F1663" s="472"/>
      <c r="G1663" s="472">
        <f>ROUND(D1663*F1663,2)</f>
        <v>0</v>
      </c>
    </row>
    <row r="1664" spans="1:7" ht="19.899999999999999" customHeight="1">
      <c r="A1664" s="505"/>
      <c r="B1664" s="466"/>
      <c r="C1664" s="469"/>
      <c r="D1664" s="470"/>
      <c r="E1664" s="471"/>
      <c r="F1664" s="472"/>
      <c r="G1664" s="472">
        <f>ROUND(D1664*F1664,2)</f>
        <v>0</v>
      </c>
    </row>
    <row r="1665" spans="1:7" ht="19.899999999999999" customHeight="1">
      <c r="A1665" s="505"/>
      <c r="B1665" s="466"/>
      <c r="C1665" s="469"/>
      <c r="D1665" s="470"/>
      <c r="E1665" s="471"/>
      <c r="F1665" s="472"/>
      <c r="G1665" s="472">
        <f>ROUND(D1665*F1665,2)</f>
        <v>0</v>
      </c>
    </row>
    <row r="1666" spans="1:7" ht="19.899999999999999" customHeight="1">
      <c r="A1666" s="505"/>
      <c r="B1666" s="466"/>
      <c r="C1666" s="469"/>
      <c r="D1666" s="470"/>
      <c r="E1666" s="471">
        <f t="shared" ref="E1666:E1671" si="570">IFERROR(VLOOKUP(C1666,T_Equipos,4,FALSE),0)</f>
        <v>0</v>
      </c>
      <c r="F1666" s="472">
        <f t="shared" ref="F1666:F1671" si="571">IFERROR(VLOOKUP(C1666,T_Equipos,5,FALSE),0)</f>
        <v>0</v>
      </c>
      <c r="G1666" s="472">
        <f t="shared" ref="G1666:G1671" si="572">ROUND(D1666*F1666,2)</f>
        <v>0</v>
      </c>
    </row>
    <row r="1667" spans="1:7" ht="19.899999999999999" customHeight="1">
      <c r="A1667" s="505"/>
      <c r="B1667" s="466"/>
      <c r="C1667" s="469"/>
      <c r="D1667" s="470"/>
      <c r="E1667" s="471">
        <f t="shared" si="570"/>
        <v>0</v>
      </c>
      <c r="F1667" s="472">
        <f t="shared" si="571"/>
        <v>0</v>
      </c>
      <c r="G1667" s="472">
        <f t="shared" si="572"/>
        <v>0</v>
      </c>
    </row>
    <row r="1668" spans="1:7" ht="19.899999999999999" customHeight="1">
      <c r="A1668" s="505"/>
      <c r="B1668" s="466"/>
      <c r="C1668" s="469"/>
      <c r="D1668" s="470"/>
      <c r="E1668" s="471">
        <f t="shared" si="570"/>
        <v>0</v>
      </c>
      <c r="F1668" s="472">
        <f t="shared" si="571"/>
        <v>0</v>
      </c>
      <c r="G1668" s="472">
        <f t="shared" si="572"/>
        <v>0</v>
      </c>
    </row>
    <row r="1669" spans="1:7" ht="19.899999999999999" customHeight="1">
      <c r="A1669" s="505"/>
      <c r="B1669" s="466"/>
      <c r="C1669" s="469"/>
      <c r="D1669" s="470"/>
      <c r="E1669" s="471">
        <f t="shared" si="570"/>
        <v>0</v>
      </c>
      <c r="F1669" s="472">
        <f t="shared" si="571"/>
        <v>0</v>
      </c>
      <c r="G1669" s="472">
        <f t="shared" si="572"/>
        <v>0</v>
      </c>
    </row>
    <row r="1670" spans="1:7" ht="19.899999999999999" customHeight="1">
      <c r="A1670" s="505"/>
      <c r="B1670" s="466"/>
      <c r="C1670" s="469"/>
      <c r="D1670" s="470"/>
      <c r="E1670" s="471">
        <f t="shared" si="570"/>
        <v>0</v>
      </c>
      <c r="F1670" s="472">
        <f t="shared" si="571"/>
        <v>0</v>
      </c>
      <c r="G1670" s="472">
        <f t="shared" si="572"/>
        <v>0</v>
      </c>
    </row>
    <row r="1671" spans="1:7" ht="19.899999999999999" customHeight="1">
      <c r="A1671" s="505"/>
      <c r="B1671" s="466"/>
      <c r="C1671" s="469"/>
      <c r="D1671" s="470"/>
      <c r="E1671" s="471">
        <f t="shared" si="570"/>
        <v>0</v>
      </c>
      <c r="F1671" s="472">
        <f t="shared" si="571"/>
        <v>0</v>
      </c>
      <c r="G1671" s="472">
        <f t="shared" si="572"/>
        <v>0</v>
      </c>
    </row>
    <row r="1672" spans="1:7" ht="19.899999999999999" customHeight="1">
      <c r="A1672" s="505"/>
      <c r="B1672" s="466"/>
      <c r="C1672" s="163"/>
      <c r="D1672" s="163"/>
      <c r="E1672" s="473"/>
      <c r="F1672" s="458"/>
      <c r="G1672" s="507"/>
    </row>
    <row r="1673" spans="1:7" ht="19.899999999999999" customHeight="1">
      <c r="A1673" s="505"/>
      <c r="B1673" s="163"/>
      <c r="C1673" s="455" t="s">
        <v>1003</v>
      </c>
      <c r="D1673" s="458" t="s">
        <v>1000</v>
      </c>
      <c r="E1673" s="524">
        <f>SUMPRODUCT(D1662:D1671,E1662:E1671)</f>
        <v>0</v>
      </c>
      <c r="F1673" s="458" t="s">
        <v>1004</v>
      </c>
      <c r="G1673" s="525">
        <f>SUM(G1662:G1671)</f>
        <v>0</v>
      </c>
    </row>
    <row r="1674" spans="1:7" ht="19.899999999999999" customHeight="1">
      <c r="A1674" s="505"/>
      <c r="B1674" s="466"/>
      <c r="C1674" s="474"/>
      <c r="D1674" s="473"/>
      <c r="E1674" s="460"/>
      <c r="F1674" s="458"/>
      <c r="G1674" s="511"/>
    </row>
    <row r="1675" spans="1:7" ht="19.899999999999999" customHeight="1">
      <c r="A1675" s="512"/>
      <c r="B1675" s="466"/>
      <c r="C1675" s="458" t="s">
        <v>1005</v>
      </c>
      <c r="D1675" s="475">
        <v>0.2</v>
      </c>
      <c r="E1675" s="476" t="str">
        <f ca="1">G1657&amp;"/día"</f>
        <v>m/día</v>
      </c>
      <c r="F1675" s="452"/>
      <c r="G1675" s="507"/>
    </row>
    <row r="1676" spans="1:7" ht="19.899999999999999" customHeight="1">
      <c r="A1676" s="505"/>
      <c r="B1676" s="466"/>
      <c r="C1676" s="163"/>
      <c r="D1676" s="459"/>
      <c r="E1676" s="460"/>
      <c r="F1676" s="458"/>
      <c r="G1676" s="507"/>
    </row>
    <row r="1677" spans="1:7" ht="19.899999999999999" customHeight="1">
      <c r="A1677" s="677" t="s">
        <v>575</v>
      </c>
      <c r="B1677" s="678"/>
      <c r="C1677" s="679" t="s">
        <v>0</v>
      </c>
      <c r="D1677" s="691" t="s">
        <v>1864</v>
      </c>
      <c r="E1677" s="691" t="s">
        <v>1863</v>
      </c>
      <c r="F1677" s="683" t="s">
        <v>1006</v>
      </c>
      <c r="G1677" s="685" t="s">
        <v>25</v>
      </c>
    </row>
    <row r="1678" spans="1:7" ht="19.899999999999999" customHeight="1">
      <c r="A1678" s="477" t="s">
        <v>576</v>
      </c>
      <c r="B1678" s="477" t="s">
        <v>577</v>
      </c>
      <c r="C1678" s="680"/>
      <c r="D1678" s="692"/>
      <c r="E1678" s="682"/>
      <c r="F1678" s="684"/>
      <c r="G1678" s="686"/>
    </row>
    <row r="1679" spans="1:7" ht="19.899999999999999" customHeight="1">
      <c r="A1679" s="513"/>
      <c r="B1679" s="163"/>
      <c r="C1679" s="455" t="s">
        <v>1007</v>
      </c>
      <c r="D1679" s="460"/>
      <c r="E1679" s="460"/>
      <c r="F1679" s="163"/>
      <c r="G1679" s="514"/>
    </row>
    <row r="1680" spans="1:7" ht="19.899999999999999" customHeight="1">
      <c r="A1680" s="515">
        <f t="shared" ref="A1680:A1686" si="573">IFERROR(VLOOKUP(C1680,T_Insumos,4,FALSE),0)</f>
        <v>0</v>
      </c>
      <c r="B1680" s="478">
        <f t="shared" ref="B1680:B1686" si="574">IFERROR(VLOOKUP(C1680,T_Insumos,5,FALSE),0)</f>
        <v>0</v>
      </c>
      <c r="C1680" s="469"/>
      <c r="D1680" s="479">
        <f t="shared" ref="D1680:D1687" si="575">IFERROR(VLOOKUP(C1680,T_Insumos,3,FALSE),0)</f>
        <v>0</v>
      </c>
      <c r="E1680" s="472">
        <f>D1680*$G$1673</f>
        <v>0</v>
      </c>
      <c r="F1680" s="475">
        <f>IF(C1680="",0,IFERROR(VLOOKUP(COUNTIF($A$1:A1680,"ANALISIS DE PRECIOS"),T_Rendimiento_Equipo,5,FALSE),0))</f>
        <v>0</v>
      </c>
      <c r="G1680" s="472">
        <f>IFERROR(ROUND(E1680/F1680,2),0)</f>
        <v>0</v>
      </c>
    </row>
    <row r="1681" spans="1:7" ht="19.899999999999999" customHeight="1">
      <c r="A1681" s="515">
        <f t="shared" si="573"/>
        <v>0</v>
      </c>
      <c r="B1681" s="478">
        <f t="shared" si="574"/>
        <v>0</v>
      </c>
      <c r="C1681" s="469"/>
      <c r="D1681" s="479">
        <f t="shared" si="575"/>
        <v>0</v>
      </c>
      <c r="E1681" s="472">
        <f t="shared" ref="E1681:E1688" si="576">D1681*$G$1673</f>
        <v>0</v>
      </c>
      <c r="F1681" s="475">
        <f>IF(C1681="",0,IFERROR(VLOOKUP(COUNTIF($A$1:A1681,"ANALISIS DE PRECIOS"),T_Rendimiento_Equipo,5,FALSE),0))</f>
        <v>0</v>
      </c>
      <c r="G1681" s="472">
        <f t="shared" ref="G1681:G1688" si="577">IFERROR(ROUND(E1681/F1681,2),0)</f>
        <v>0</v>
      </c>
    </row>
    <row r="1682" spans="1:7" ht="19.899999999999999" customHeight="1">
      <c r="A1682" s="515">
        <f t="shared" si="573"/>
        <v>0</v>
      </c>
      <c r="B1682" s="478">
        <f t="shared" si="574"/>
        <v>0</v>
      </c>
      <c r="C1682" s="480"/>
      <c r="D1682" s="479">
        <f t="shared" si="575"/>
        <v>0</v>
      </c>
      <c r="E1682" s="472">
        <f t="shared" si="576"/>
        <v>0</v>
      </c>
      <c r="F1682" s="475">
        <f>IF(C1682="",0,IFERROR(VLOOKUP(COUNTIF($A$1:A1682,"ANALISIS DE PRECIOS"),T_Rendimiento_Equipo,5,FALSE),0))</f>
        <v>0</v>
      </c>
      <c r="G1682" s="472">
        <f t="shared" si="577"/>
        <v>0</v>
      </c>
    </row>
    <row r="1683" spans="1:7" ht="19.899999999999999" customHeight="1">
      <c r="A1683" s="515">
        <f t="shared" si="573"/>
        <v>0</v>
      </c>
      <c r="B1683" s="478">
        <f t="shared" si="574"/>
        <v>0</v>
      </c>
      <c r="C1683" s="480"/>
      <c r="D1683" s="479">
        <f t="shared" si="575"/>
        <v>0</v>
      </c>
      <c r="E1683" s="472">
        <f t="shared" si="576"/>
        <v>0</v>
      </c>
      <c r="F1683" s="475">
        <f>IF(C1683="",0,IFERROR(VLOOKUP(COUNTIF($A$1:A1683,"ANALISIS DE PRECIOS"),T_Rendimiento_Equipo,5,FALSE),0))</f>
        <v>0</v>
      </c>
      <c r="G1683" s="472">
        <f t="shared" si="577"/>
        <v>0</v>
      </c>
    </row>
    <row r="1684" spans="1:7" ht="19.899999999999999" customHeight="1">
      <c r="A1684" s="515">
        <f t="shared" si="573"/>
        <v>0</v>
      </c>
      <c r="B1684" s="478">
        <f t="shared" si="574"/>
        <v>0</v>
      </c>
      <c r="C1684" s="480"/>
      <c r="D1684" s="479">
        <f t="shared" si="575"/>
        <v>0</v>
      </c>
      <c r="E1684" s="472">
        <f t="shared" si="576"/>
        <v>0</v>
      </c>
      <c r="F1684" s="475">
        <f>IF(C1684="",0,IFERROR(VLOOKUP(COUNTIF($A$1:A1684,"ANALISIS DE PRECIOS"),T_Rendimiento_Equipo,5,FALSE),0))</f>
        <v>0</v>
      </c>
      <c r="G1684" s="472">
        <f t="shared" si="577"/>
        <v>0</v>
      </c>
    </row>
    <row r="1685" spans="1:7" ht="19.899999999999999" customHeight="1">
      <c r="A1685" s="515">
        <f t="shared" si="573"/>
        <v>0</v>
      </c>
      <c r="B1685" s="478">
        <f t="shared" si="574"/>
        <v>0</v>
      </c>
      <c r="C1685" s="480"/>
      <c r="D1685" s="479">
        <f t="shared" si="575"/>
        <v>0</v>
      </c>
      <c r="E1685" s="472">
        <f t="shared" si="576"/>
        <v>0</v>
      </c>
      <c r="F1685" s="475">
        <f>IF(C1685="",0,IFERROR(VLOOKUP(COUNTIF($A$1:A1685,"ANALISIS DE PRECIOS"),T_Rendimiento_Equipo,5,FALSE),0))</f>
        <v>0</v>
      </c>
      <c r="G1685" s="472">
        <f t="shared" si="577"/>
        <v>0</v>
      </c>
    </row>
    <row r="1686" spans="1:7" ht="19.899999999999999" customHeight="1">
      <c r="A1686" s="515">
        <f t="shared" si="573"/>
        <v>0</v>
      </c>
      <c r="B1686" s="478">
        <f t="shared" si="574"/>
        <v>0</v>
      </c>
      <c r="C1686" s="480"/>
      <c r="D1686" s="479">
        <f t="shared" si="575"/>
        <v>0</v>
      </c>
      <c r="E1686" s="472">
        <f t="shared" si="576"/>
        <v>0</v>
      </c>
      <c r="F1686" s="475">
        <f>IF(C1686="",0,IFERROR(VLOOKUP(COUNTIF($A$1:A1686,"ANALISIS DE PRECIOS"),T_Rendimiento_Equipo,5,FALSE),0))</f>
        <v>0</v>
      </c>
      <c r="G1686" s="472">
        <f t="shared" si="577"/>
        <v>0</v>
      </c>
    </row>
    <row r="1687" spans="1:7" ht="19.899999999999999" customHeight="1">
      <c r="A1687" s="515">
        <f t="shared" ref="A1687:A1688" si="578">IFERROR(VLOOKUP(C1687,T_Insumos,4,FALSE),0)</f>
        <v>0</v>
      </c>
      <c r="B1687" s="478">
        <f t="shared" ref="B1687:B1688" si="579">IFERROR(VLOOKUP(C1687,T_Insumos,5,FALSE),0)</f>
        <v>0</v>
      </c>
      <c r="C1687" s="480"/>
      <c r="D1687" s="479">
        <f t="shared" si="575"/>
        <v>0</v>
      </c>
      <c r="E1687" s="472">
        <f t="shared" si="576"/>
        <v>0</v>
      </c>
      <c r="F1687" s="475">
        <f>IF(C1687="",0,IFERROR(VLOOKUP(COUNTIF($A$1:A1687,"ANALISIS DE PRECIOS"),T_Rendimiento_Equipo,5,FALSE),0))</f>
        <v>0</v>
      </c>
      <c r="G1687" s="472">
        <f t="shared" si="577"/>
        <v>0</v>
      </c>
    </row>
    <row r="1688" spans="1:7" ht="19.899999999999999" customHeight="1">
      <c r="A1688" s="515">
        <f t="shared" si="578"/>
        <v>0</v>
      </c>
      <c r="B1688" s="478">
        <f t="shared" si="579"/>
        <v>0</v>
      </c>
      <c r="C1688" s="469"/>
      <c r="D1688" s="479">
        <f t="shared" ref="D1688" si="580">IFERROR(VLOOKUP(C1688,T_Insumos,3,FALSE),0)</f>
        <v>0</v>
      </c>
      <c r="E1688" s="472">
        <f t="shared" si="576"/>
        <v>0</v>
      </c>
      <c r="F1688" s="475">
        <f>IF(C1688="",0,IFERROR(VLOOKUP(COUNTIF($A$1:A1688,"ANALISIS DE PRECIOS"),T_Rendimiento_Equipo,5,FALSE),0))</f>
        <v>0</v>
      </c>
      <c r="G1688" s="472">
        <f t="shared" si="577"/>
        <v>0</v>
      </c>
    </row>
    <row r="1689" spans="1:7" ht="19.899999999999999" customHeight="1">
      <c r="A1689" s="516"/>
      <c r="B1689" s="459"/>
      <c r="C1689" s="163"/>
      <c r="D1689" s="459"/>
      <c r="E1689" s="460"/>
      <c r="F1689" s="481" t="s">
        <v>26</v>
      </c>
      <c r="G1689" s="517">
        <f>SUBTOTAL(9,G1680:G1688)</f>
        <v>0</v>
      </c>
    </row>
    <row r="1690" spans="1:7" ht="19.899999999999999" customHeight="1">
      <c r="A1690" s="513"/>
      <c r="B1690" s="163"/>
      <c r="C1690" s="455" t="s">
        <v>712</v>
      </c>
      <c r="D1690" s="459"/>
      <c r="E1690" s="460"/>
      <c r="F1690" s="461"/>
      <c r="G1690" s="514"/>
    </row>
    <row r="1691" spans="1:7" ht="19.899999999999999" customHeight="1">
      <c r="A1691" s="677" t="s">
        <v>575</v>
      </c>
      <c r="B1691" s="678"/>
      <c r="C1691" s="679" t="s">
        <v>0</v>
      </c>
      <c r="D1691" s="681" t="s">
        <v>23</v>
      </c>
      <c r="E1691" s="681" t="s">
        <v>1830</v>
      </c>
      <c r="F1691" s="683" t="s">
        <v>1006</v>
      </c>
      <c r="G1691" s="685" t="s">
        <v>25</v>
      </c>
    </row>
    <row r="1692" spans="1:7" ht="19.899999999999999" customHeight="1">
      <c r="A1692" s="477" t="s">
        <v>576</v>
      </c>
      <c r="B1692" s="477" t="s">
        <v>577</v>
      </c>
      <c r="C1692" s="680"/>
      <c r="D1692" s="682"/>
      <c r="E1692" s="682"/>
      <c r="F1692" s="684"/>
      <c r="G1692" s="686"/>
    </row>
    <row r="1693" spans="1:7" ht="19.899999999999999" customHeight="1">
      <c r="A1693" s="515">
        <f t="shared" ref="A1693:A1698" si="581">IFERROR(VLOOKUP(C1693,T_Insumos,4,FALSE),0)</f>
        <v>0</v>
      </c>
      <c r="B1693" s="478">
        <f t="shared" ref="B1693:B1698" si="582">IFERROR(VLOOKUP(C1693,T_Insumos,5,FALSE),0)</f>
        <v>0</v>
      </c>
      <c r="C1693" s="482"/>
      <c r="D1693" s="475"/>
      <c r="E1693" s="472">
        <f t="shared" ref="E1693:E1698" si="583">IFERROR(VLOOKUP(C1693,T_Insumos,3,FALSE),0)</f>
        <v>0</v>
      </c>
      <c r="F1693" s="475">
        <f>IF(C1693="",0,IFERROR(VLOOKUP(COUNTIF($A$1:A1693,"ANALISIS DE PRECIOS"),T_Rendimiento_Equipo,5,FALSE),0))</f>
        <v>0</v>
      </c>
      <c r="G1693" s="472">
        <f>IFERROR(ROUND(D1693*E1693/F1693,2),0)</f>
        <v>0</v>
      </c>
    </row>
    <row r="1694" spans="1:7" ht="19.899999999999999" customHeight="1">
      <c r="A1694" s="515">
        <f t="shared" si="581"/>
        <v>0</v>
      </c>
      <c r="B1694" s="478">
        <f t="shared" si="582"/>
        <v>0</v>
      </c>
      <c r="C1694" s="469"/>
      <c r="D1694" s="475"/>
      <c r="E1694" s="472">
        <f t="shared" si="583"/>
        <v>0</v>
      </c>
      <c r="F1694" s="475">
        <f>IF(C1694="",0,IFERROR(VLOOKUP(COUNTIF($A$1:A1694,"ANALISIS DE PRECIOS"),T_Rendimiento_Equipo,5,FALSE),0))</f>
        <v>0</v>
      </c>
      <c r="G1694" s="472">
        <f t="shared" ref="G1694:G1699" si="584">IFERROR(ROUND(D1694*E1694/F1694,2),0)</f>
        <v>0</v>
      </c>
    </row>
    <row r="1695" spans="1:7" ht="19.899999999999999" customHeight="1">
      <c r="A1695" s="515">
        <f t="shared" si="581"/>
        <v>0</v>
      </c>
      <c r="B1695" s="478">
        <f t="shared" si="582"/>
        <v>0</v>
      </c>
      <c r="C1695" s="469"/>
      <c r="D1695" s="475"/>
      <c r="E1695" s="472">
        <f t="shared" si="583"/>
        <v>0</v>
      </c>
      <c r="F1695" s="475">
        <f>IF(C1695="",0,IFERROR(VLOOKUP(COUNTIF($A$1:A1695,"ANALISIS DE PRECIOS"),T_Rendimiento_Equipo,5,FALSE),0))</f>
        <v>0</v>
      </c>
      <c r="G1695" s="472">
        <f t="shared" si="584"/>
        <v>0</v>
      </c>
    </row>
    <row r="1696" spans="1:7" ht="19.899999999999999" customHeight="1">
      <c r="A1696" s="515">
        <f t="shared" si="581"/>
        <v>0</v>
      </c>
      <c r="B1696" s="478">
        <f t="shared" si="582"/>
        <v>0</v>
      </c>
      <c r="C1696" s="469"/>
      <c r="D1696" s="475"/>
      <c r="E1696" s="472">
        <f t="shared" si="583"/>
        <v>0</v>
      </c>
      <c r="F1696" s="475">
        <f>IF(C1696="",0,IFERROR(VLOOKUP(COUNTIF($A$1:A1696,"ANALISIS DE PRECIOS"),T_Rendimiento_Equipo,5,FALSE),0))</f>
        <v>0</v>
      </c>
      <c r="G1696" s="472">
        <f t="shared" si="584"/>
        <v>0</v>
      </c>
    </row>
    <row r="1697" spans="1:7" ht="19.899999999999999" customHeight="1">
      <c r="A1697" s="515">
        <f t="shared" si="581"/>
        <v>0</v>
      </c>
      <c r="B1697" s="478">
        <f t="shared" si="582"/>
        <v>0</v>
      </c>
      <c r="C1697" s="469"/>
      <c r="D1697" s="475"/>
      <c r="E1697" s="472">
        <f t="shared" si="583"/>
        <v>0</v>
      </c>
      <c r="F1697" s="475">
        <f>IF(C1697="",0,IFERROR(VLOOKUP(COUNTIF($A$1:A1697,"ANALISIS DE PRECIOS"),T_Rendimiento_Equipo,5,FALSE),0))</f>
        <v>0</v>
      </c>
      <c r="G1697" s="472">
        <f t="shared" si="584"/>
        <v>0</v>
      </c>
    </row>
    <row r="1698" spans="1:7" ht="19.899999999999999" customHeight="1">
      <c r="A1698" s="515">
        <f t="shared" si="581"/>
        <v>0</v>
      </c>
      <c r="B1698" s="478">
        <f t="shared" si="582"/>
        <v>0</v>
      </c>
      <c r="C1698" s="469"/>
      <c r="D1698" s="483"/>
      <c r="E1698" s="472">
        <f t="shared" si="583"/>
        <v>0</v>
      </c>
      <c r="F1698" s="475">
        <f>IF(C1698="",0,IFERROR(VLOOKUP(COUNTIF($A$1:A1698,"ANALISIS DE PRECIOS"),T_Rendimiento_Equipo,5,FALSE),0))</f>
        <v>0</v>
      </c>
      <c r="G1698" s="472">
        <f t="shared" si="584"/>
        <v>0</v>
      </c>
    </row>
    <row r="1699" spans="1:7" ht="19.899999999999999" customHeight="1">
      <c r="A1699" s="515">
        <f t="shared" ref="A1699" si="585">IFERROR(VLOOKUP(C1699,T_Insumos,4,FALSE),0)</f>
        <v>0</v>
      </c>
      <c r="B1699" s="478">
        <f t="shared" ref="B1699" si="586">IFERROR(VLOOKUP(C1699,T_Insumos,5,FALSE),0)</f>
        <v>0</v>
      </c>
      <c r="C1699" s="478"/>
      <c r="D1699" s="484"/>
      <c r="E1699" s="472">
        <f t="shared" ref="E1699" si="587">IFERROR(VLOOKUP(C1699,T_Insumos,3,FALSE),0)</f>
        <v>0</v>
      </c>
      <c r="F1699" s="475">
        <f>IF(C1699="",0,IFERROR(VLOOKUP(COUNTIF($A$1:A1699,"ANALISIS DE PRECIOS"),T_Rendimiento_Equipo,5,FALSE),0))</f>
        <v>0</v>
      </c>
      <c r="G1699" s="472">
        <f t="shared" si="584"/>
        <v>0</v>
      </c>
    </row>
    <row r="1700" spans="1:7" ht="19.899999999999999" customHeight="1">
      <c r="A1700" s="516"/>
      <c r="B1700" s="459"/>
      <c r="C1700" s="163"/>
      <c r="D1700" s="459"/>
      <c r="E1700" s="460"/>
      <c r="F1700" s="481" t="s">
        <v>27</v>
      </c>
      <c r="G1700" s="518">
        <f>SUBTOTAL(9,G1693:G1699)</f>
        <v>0</v>
      </c>
    </row>
    <row r="1701" spans="1:7" ht="19.899999999999999" customHeight="1">
      <c r="A1701" s="513"/>
      <c r="B1701" s="163"/>
      <c r="C1701" s="455" t="s">
        <v>1013</v>
      </c>
      <c r="D1701" s="459"/>
      <c r="E1701" s="460"/>
      <c r="F1701" s="461"/>
      <c r="G1701" s="514"/>
    </row>
    <row r="1702" spans="1:7" ht="19.899999999999999" customHeight="1">
      <c r="A1702" s="677" t="s">
        <v>575</v>
      </c>
      <c r="B1702" s="678"/>
      <c r="C1702" s="679" t="s">
        <v>0</v>
      </c>
      <c r="D1702" s="679" t="s">
        <v>1865</v>
      </c>
      <c r="E1702" s="681" t="s">
        <v>23</v>
      </c>
      <c r="F1702" s="683" t="s">
        <v>24</v>
      </c>
      <c r="G1702" s="685" t="s">
        <v>25</v>
      </c>
    </row>
    <row r="1703" spans="1:7" ht="19.899999999999999" customHeight="1">
      <c r="A1703" s="477" t="s">
        <v>576</v>
      </c>
      <c r="B1703" s="477" t="s">
        <v>577</v>
      </c>
      <c r="C1703" s="680"/>
      <c r="D1703" s="680"/>
      <c r="E1703" s="682"/>
      <c r="F1703" s="684"/>
      <c r="G1703" s="686"/>
    </row>
    <row r="1704" spans="1:7" ht="19.899999999999999" customHeight="1">
      <c r="A1704" s="515">
        <f t="shared" ref="A1704:A1713" si="588">IFERROR(VLOOKUP(C1704,T_Insumos,4,FALSE),0)</f>
        <v>0</v>
      </c>
      <c r="B1704" s="478">
        <f t="shared" ref="B1704:B1713" si="589">IFERROR(VLOOKUP(C1704,T_Insumos,5,FALSE),0)</f>
        <v>0</v>
      </c>
      <c r="C1704" s="478"/>
      <c r="D1704" s="526">
        <f t="shared" ref="D1704:D1713" si="590">IFERROR(VLOOKUP(C1704,T_Insumos,2,FALSE),0)</f>
        <v>0</v>
      </c>
      <c r="E1704" s="625"/>
      <c r="F1704" s="472">
        <f t="shared" ref="F1704:F1713" si="591">IFERROR(VLOOKUP(C1704,T_Insumos,3,FALSE),0)</f>
        <v>0</v>
      </c>
      <c r="G1704" s="472">
        <f>ROUND(E1704*F1704,2)</f>
        <v>0</v>
      </c>
    </row>
    <row r="1705" spans="1:7" ht="19.899999999999999" customHeight="1">
      <c r="A1705" s="515">
        <f t="shared" si="588"/>
        <v>0</v>
      </c>
      <c r="B1705" s="478">
        <f t="shared" si="589"/>
        <v>0</v>
      </c>
      <c r="C1705" s="478"/>
      <c r="D1705" s="526">
        <f t="shared" si="590"/>
        <v>0</v>
      </c>
      <c r="E1705" s="625"/>
      <c r="F1705" s="472">
        <f t="shared" si="591"/>
        <v>0</v>
      </c>
      <c r="G1705" s="472">
        <f t="shared" ref="G1705:G1714" si="592">ROUND(E1705*F1705,2)</f>
        <v>0</v>
      </c>
    </row>
    <row r="1706" spans="1:7" ht="19.899999999999999" customHeight="1">
      <c r="A1706" s="515">
        <f t="shared" si="588"/>
        <v>0</v>
      </c>
      <c r="B1706" s="478">
        <f t="shared" si="589"/>
        <v>0</v>
      </c>
      <c r="C1706" s="478"/>
      <c r="D1706" s="526">
        <f t="shared" si="590"/>
        <v>0</v>
      </c>
      <c r="E1706" s="625"/>
      <c r="F1706" s="472">
        <f t="shared" si="591"/>
        <v>0</v>
      </c>
      <c r="G1706" s="472">
        <f t="shared" si="592"/>
        <v>0</v>
      </c>
    </row>
    <row r="1707" spans="1:7" ht="19.899999999999999" customHeight="1">
      <c r="A1707" s="515">
        <f t="shared" si="588"/>
        <v>0</v>
      </c>
      <c r="B1707" s="478">
        <f t="shared" si="589"/>
        <v>0</v>
      </c>
      <c r="C1707" s="478"/>
      <c r="D1707" s="526">
        <f t="shared" si="590"/>
        <v>0</v>
      </c>
      <c r="E1707" s="625"/>
      <c r="F1707" s="472">
        <f t="shared" si="591"/>
        <v>0</v>
      </c>
      <c r="G1707" s="472">
        <f t="shared" si="592"/>
        <v>0</v>
      </c>
    </row>
    <row r="1708" spans="1:7" ht="19.899999999999999" customHeight="1">
      <c r="A1708" s="515">
        <f t="shared" si="588"/>
        <v>0</v>
      </c>
      <c r="B1708" s="478">
        <f t="shared" si="589"/>
        <v>0</v>
      </c>
      <c r="C1708" s="478"/>
      <c r="D1708" s="526">
        <f t="shared" si="590"/>
        <v>0</v>
      </c>
      <c r="E1708" s="625"/>
      <c r="F1708" s="472">
        <f t="shared" si="591"/>
        <v>0</v>
      </c>
      <c r="G1708" s="472">
        <f t="shared" si="592"/>
        <v>0</v>
      </c>
    </row>
    <row r="1709" spans="1:7" ht="19.899999999999999" customHeight="1">
      <c r="A1709" s="515">
        <f t="shared" si="588"/>
        <v>0</v>
      </c>
      <c r="B1709" s="478">
        <f t="shared" si="589"/>
        <v>0</v>
      </c>
      <c r="C1709" s="478"/>
      <c r="D1709" s="526">
        <f t="shared" si="590"/>
        <v>0</v>
      </c>
      <c r="E1709" s="625"/>
      <c r="F1709" s="472">
        <f t="shared" si="591"/>
        <v>0</v>
      </c>
      <c r="G1709" s="472">
        <f t="shared" si="592"/>
        <v>0</v>
      </c>
    </row>
    <row r="1710" spans="1:7" ht="19.899999999999999" customHeight="1">
      <c r="A1710" s="515">
        <f t="shared" si="588"/>
        <v>0</v>
      </c>
      <c r="B1710" s="478">
        <f t="shared" si="589"/>
        <v>0</v>
      </c>
      <c r="C1710" s="478"/>
      <c r="D1710" s="526">
        <f t="shared" si="590"/>
        <v>0</v>
      </c>
      <c r="E1710" s="625"/>
      <c r="F1710" s="472">
        <f t="shared" si="591"/>
        <v>0</v>
      </c>
      <c r="G1710" s="472">
        <f t="shared" si="592"/>
        <v>0</v>
      </c>
    </row>
    <row r="1711" spans="1:7" ht="19.899999999999999" customHeight="1">
      <c r="A1711" s="515">
        <f t="shared" si="588"/>
        <v>0</v>
      </c>
      <c r="B1711" s="478">
        <f t="shared" si="589"/>
        <v>0</v>
      </c>
      <c r="C1711" s="478"/>
      <c r="D1711" s="526">
        <f t="shared" si="590"/>
        <v>0</v>
      </c>
      <c r="E1711" s="625"/>
      <c r="F1711" s="472">
        <f t="shared" si="591"/>
        <v>0</v>
      </c>
      <c r="G1711" s="472">
        <f t="shared" si="592"/>
        <v>0</v>
      </c>
    </row>
    <row r="1712" spans="1:7" ht="19.899999999999999" customHeight="1">
      <c r="A1712" s="515">
        <f t="shared" si="588"/>
        <v>0</v>
      </c>
      <c r="B1712" s="478">
        <f t="shared" si="589"/>
        <v>0</v>
      </c>
      <c r="C1712" s="478"/>
      <c r="D1712" s="526">
        <f t="shared" si="590"/>
        <v>0</v>
      </c>
      <c r="E1712" s="625"/>
      <c r="F1712" s="472">
        <f t="shared" si="591"/>
        <v>0</v>
      </c>
      <c r="G1712" s="472">
        <f t="shared" si="592"/>
        <v>0</v>
      </c>
    </row>
    <row r="1713" spans="1:7" ht="19.899999999999999" customHeight="1">
      <c r="A1713" s="515">
        <f t="shared" si="588"/>
        <v>0</v>
      </c>
      <c r="B1713" s="478">
        <f t="shared" si="589"/>
        <v>0</v>
      </c>
      <c r="C1713" s="478"/>
      <c r="D1713" s="526">
        <f t="shared" si="590"/>
        <v>0</v>
      </c>
      <c r="E1713" s="625"/>
      <c r="F1713" s="472">
        <f t="shared" si="591"/>
        <v>0</v>
      </c>
      <c r="G1713" s="472">
        <f t="shared" si="592"/>
        <v>0</v>
      </c>
    </row>
    <row r="1714" spans="1:7" ht="19.899999999999999" customHeight="1">
      <c r="A1714" s="515">
        <f t="shared" ref="A1714" si="593">IFERROR(VLOOKUP(C1714,T_Insumos,4,FALSE),0)</f>
        <v>0</v>
      </c>
      <c r="B1714" s="478">
        <f t="shared" ref="B1714" si="594">IFERROR(VLOOKUP(C1714,T_Insumos,5,FALSE),0)</f>
        <v>0</v>
      </c>
      <c r="C1714" s="478"/>
      <c r="D1714" s="526">
        <f t="shared" ref="D1714" si="595">IFERROR(VLOOKUP(C1714,T_Insumos,2,FALSE),0)</f>
        <v>0</v>
      </c>
      <c r="E1714" s="470"/>
      <c r="F1714" s="472">
        <f t="shared" ref="F1714" si="596">IFERROR(VLOOKUP(C1714,T_Insumos,3,FALSE),0)</f>
        <v>0</v>
      </c>
      <c r="G1714" s="472">
        <f t="shared" si="592"/>
        <v>0</v>
      </c>
    </row>
    <row r="1715" spans="1:7" ht="19.899999999999999" customHeight="1">
      <c r="A1715" s="513"/>
      <c r="B1715" s="163"/>
      <c r="C1715" s="163"/>
      <c r="D1715" s="459"/>
      <c r="E1715" s="460"/>
      <c r="F1715" s="481" t="s">
        <v>28</v>
      </c>
      <c r="G1715" s="518">
        <f>SUBTOTAL(9,G1704:G1714)</f>
        <v>0</v>
      </c>
    </row>
    <row r="1716" spans="1:7" ht="19.899999999999999" customHeight="1">
      <c r="A1716" s="513"/>
      <c r="B1716" s="163"/>
      <c r="C1716" s="455" t="s">
        <v>1014</v>
      </c>
      <c r="D1716" s="459"/>
      <c r="E1716" s="460"/>
      <c r="F1716" s="461"/>
      <c r="G1716" s="514"/>
    </row>
    <row r="1717" spans="1:7" ht="19.899999999999999" customHeight="1">
      <c r="A1717" s="677" t="s">
        <v>575</v>
      </c>
      <c r="B1717" s="678"/>
      <c r="C1717" s="679" t="s">
        <v>0</v>
      </c>
      <c r="D1717" s="679" t="s">
        <v>1865</v>
      </c>
      <c r="E1717" s="681" t="s">
        <v>23</v>
      </c>
      <c r="F1717" s="683" t="s">
        <v>24</v>
      </c>
      <c r="G1717" s="685" t="s">
        <v>25</v>
      </c>
    </row>
    <row r="1718" spans="1:7" ht="19.899999999999999" customHeight="1">
      <c r="A1718" s="477" t="s">
        <v>576</v>
      </c>
      <c r="B1718" s="477" t="s">
        <v>577</v>
      </c>
      <c r="C1718" s="680"/>
      <c r="D1718" s="680"/>
      <c r="E1718" s="682"/>
      <c r="F1718" s="684"/>
      <c r="G1718" s="686"/>
    </row>
    <row r="1719" spans="1:7" ht="19.899999999999999" customHeight="1">
      <c r="A1719" s="515">
        <f>IFERROR(VLOOKUP(C1719,T_Insumos,4,FALSE),0)</f>
        <v>0</v>
      </c>
      <c r="B1719" s="478">
        <f>IFERROR(VLOOKUP(C1719,T_Insumos,5,FALSE),0)</f>
        <v>0</v>
      </c>
      <c r="C1719" s="469"/>
      <c r="D1719" s="526">
        <f>IF(C1719=0,0,"$/tnkm")</f>
        <v>0</v>
      </c>
      <c r="E1719" s="470"/>
      <c r="F1719" s="472">
        <f>IFERROR(VLOOKUP(C1719,T_Insumos,3,FALSE),0)</f>
        <v>0</v>
      </c>
      <c r="G1719" s="472">
        <f>ROUND(E1719*F1719,2)</f>
        <v>0</v>
      </c>
    </row>
    <row r="1720" spans="1:7" ht="19.899999999999999" customHeight="1">
      <c r="A1720" s="515">
        <f>IFERROR(VLOOKUP(C1720,T_Insumos,4,FALSE),0)</f>
        <v>0</v>
      </c>
      <c r="B1720" s="478">
        <f>IFERROR(VLOOKUP(C1720,T_Insumos,5,FALSE),0)</f>
        <v>0</v>
      </c>
      <c r="C1720" s="469"/>
      <c r="D1720" s="526">
        <f>IF(C1720=0,0,"$/tnkm")</f>
        <v>0</v>
      </c>
      <c r="E1720" s="486"/>
      <c r="F1720" s="472">
        <f>IFERROR(VLOOKUP(C1720,T_Insumos,3,FALSE),0)</f>
        <v>0</v>
      </c>
      <c r="G1720" s="472">
        <f t="shared" ref="G1720" si="597">ROUND(E1720*F1720,2)</f>
        <v>0</v>
      </c>
    </row>
    <row r="1721" spans="1:7" ht="19.899999999999999" customHeight="1">
      <c r="A1721" s="513"/>
      <c r="B1721" s="163"/>
      <c r="C1721" s="163"/>
      <c r="D1721" s="459"/>
      <c r="E1721" s="460"/>
      <c r="F1721" s="481" t="s">
        <v>1015</v>
      </c>
      <c r="G1721" s="518">
        <f>SUBTOTAL(9,G1719:G1720)</f>
        <v>0</v>
      </c>
    </row>
    <row r="1722" spans="1:7" ht="19.899999999999999" customHeight="1">
      <c r="A1722" s="516"/>
      <c r="B1722" s="459"/>
      <c r="C1722" s="163"/>
      <c r="D1722" s="459"/>
      <c r="E1722" s="460"/>
      <c r="F1722" s="461"/>
      <c r="G1722" s="514"/>
    </row>
    <row r="1723" spans="1:7" ht="19.899999999999999" customHeight="1">
      <c r="A1723" s="574" t="str">
        <f>B1657</f>
        <v>5.2.1</v>
      </c>
      <c r="B1723" s="571" t="str">
        <f ca="1">C1657</f>
        <v>Rehabilitacion camino de servicio</v>
      </c>
      <c r="C1723" s="459"/>
      <c r="D1723" s="459" t="s">
        <v>1831</v>
      </c>
      <c r="E1723" s="572"/>
      <c r="F1723" s="573" t="str">
        <f ca="1">"$/"&amp;G1657</f>
        <v>$/m</v>
      </c>
      <c r="G1723" s="523">
        <f>SUBTOTAL(9,G1680:G1722)</f>
        <v>0</v>
      </c>
    </row>
    <row r="1724" spans="1:7" ht="19.899999999999999" customHeight="1">
      <c r="A1724" s="519"/>
      <c r="B1724" s="520"/>
      <c r="C1724" s="521"/>
      <c r="D1724" s="521" t="s">
        <v>2041</v>
      </c>
      <c r="E1724" s="522"/>
      <c r="F1724" s="575" t="str">
        <f ca="1">"$/"&amp;G1657</f>
        <v>$/m</v>
      </c>
      <c r="G1724" s="523">
        <f>ROUND(G1723*Coeficiente_Paso,2)</f>
        <v>0</v>
      </c>
    </row>
    <row r="1725" spans="1:7" ht="19.899999999999999" customHeight="1">
      <c r="A1725" s="163"/>
      <c r="B1725" s="163"/>
      <c r="C1725" s="163"/>
      <c r="D1725" s="163"/>
      <c r="E1725" s="163"/>
      <c r="F1725" s="163"/>
      <c r="G1725" s="163"/>
    </row>
    <row r="1726" spans="1:7" ht="19.899999999999999" customHeight="1">
      <c r="A1726" s="687" t="s">
        <v>30</v>
      </c>
      <c r="B1726" s="688"/>
      <c r="C1726" s="688"/>
      <c r="D1726" s="688"/>
      <c r="E1726" s="688"/>
      <c r="F1726" s="688"/>
      <c r="G1726" s="689"/>
    </row>
    <row r="1727" spans="1:7" ht="19.899999999999999" customHeight="1">
      <c r="A1727" s="502" t="s">
        <v>710</v>
      </c>
      <c r="B1727" s="453" t="str">
        <f>Comitente</f>
        <v>DEPARTAMENTO DE HIDRAULICA</v>
      </c>
      <c r="C1727" s="454"/>
      <c r="D1727" s="455"/>
      <c r="E1727" s="455"/>
      <c r="F1727" s="456"/>
      <c r="G1727" s="503"/>
    </row>
    <row r="1728" spans="1:7" ht="19.899999999999999" customHeight="1">
      <c r="A1728" s="502" t="s">
        <v>711</v>
      </c>
      <c r="B1728" s="453">
        <f>Contratista</f>
        <v>0</v>
      </c>
      <c r="C1728" s="457"/>
      <c r="D1728" s="457"/>
      <c r="E1728" s="457"/>
      <c r="F1728" s="453"/>
      <c r="G1728" s="504"/>
    </row>
    <row r="1729" spans="1:7" ht="19.899999999999999" customHeight="1">
      <c r="A1729" s="502" t="s">
        <v>20</v>
      </c>
      <c r="B1729" s="453" t="str">
        <f>Obra</f>
        <v>MEJORA DE LA RED DE RIEGO DEL VALLE DE JÁCHAL</v>
      </c>
      <c r="C1729" s="457"/>
      <c r="D1729" s="457"/>
      <c r="E1729" s="457"/>
      <c r="F1729" s="453" t="s">
        <v>31</v>
      </c>
      <c r="G1729" s="504" t="str">
        <f>Fecha_Base</f>
        <v>XX/07/2020</v>
      </c>
    </row>
    <row r="1730" spans="1:7" ht="19.899999999999999" customHeight="1">
      <c r="A1730" s="505" t="s">
        <v>709</v>
      </c>
      <c r="B1730" s="458" t="str">
        <f>Ubicación</f>
        <v>JACHAL</v>
      </c>
      <c r="C1730" s="458"/>
      <c r="D1730" s="459"/>
      <c r="E1730" s="460"/>
      <c r="F1730" s="461"/>
      <c r="G1730" s="506"/>
    </row>
    <row r="1731" spans="1:7" ht="19.899999999999999" customHeight="1">
      <c r="A1731" s="505" t="s">
        <v>32</v>
      </c>
      <c r="B1731" s="462">
        <f>IFERROR(VALUE(LEFT(B1732,FIND(".",B1732)-1)),"")</f>
        <v>5</v>
      </c>
      <c r="C1731" s="163" t="str">
        <f ca="1">IFERROR(VLOOKUP(B1731,T_Computo_Presupuesto,2,FALSE),0)</f>
        <v>CANAL MATRIZ</v>
      </c>
      <c r="D1731" s="163"/>
      <c r="E1731" s="460"/>
      <c r="F1731" s="461"/>
      <c r="G1731" s="506"/>
    </row>
    <row r="1732" spans="1:7" ht="19.899999999999999" customHeight="1">
      <c r="A1732" s="505" t="s">
        <v>21</v>
      </c>
      <c r="B1732" s="463" t="str">
        <f>IFERROR(VLOOKUP(COUNTIF($A$1:A1732,"ANALISIS DE PRECIOS"),T_NumeroItem,2,FALSE),"")</f>
        <v>5.2.2</v>
      </c>
      <c r="C1732" s="690" t="str">
        <f ca="1">IFERROR(VLOOKUP(B1732,T_Computo_Presupuesto,2,FALSE),0)</f>
        <v>Limpieza y preparación del terreno</v>
      </c>
      <c r="D1732" s="690"/>
      <c r="E1732" s="690"/>
      <c r="F1732" s="458" t="s">
        <v>22</v>
      </c>
      <c r="G1732" s="507" t="str">
        <f ca="1">IFERROR(VLOOKUP(B1732,T_Computo_Presupuesto,4,FALSE),0)</f>
        <v>m</v>
      </c>
    </row>
    <row r="1733" spans="1:7" ht="19.899999999999999" customHeight="1">
      <c r="A1733" s="505"/>
      <c r="B1733" s="458"/>
      <c r="C1733" s="163"/>
      <c r="D1733" s="459"/>
      <c r="E1733" s="460"/>
      <c r="F1733" s="163"/>
      <c r="G1733" s="508"/>
    </row>
    <row r="1734" spans="1:7" ht="19.899999999999999" customHeight="1">
      <c r="A1734" s="509"/>
      <c r="B1734" s="464"/>
      <c r="C1734" s="465" t="s">
        <v>998</v>
      </c>
      <c r="D1734" s="464"/>
      <c r="E1734" s="464"/>
      <c r="F1734" s="464"/>
      <c r="G1734" s="510"/>
    </row>
    <row r="1735" spans="1:7" ht="19.899999999999999" customHeight="1">
      <c r="A1735" s="505"/>
      <c r="B1735" s="466"/>
      <c r="C1735" s="163"/>
      <c r="D1735" s="459"/>
      <c r="E1735" s="460"/>
      <c r="F1735" s="458"/>
      <c r="G1735" s="507"/>
    </row>
    <row r="1736" spans="1:7" ht="19.899999999999999" customHeight="1">
      <c r="A1736" s="505"/>
      <c r="B1736" s="466"/>
      <c r="C1736" s="467" t="s">
        <v>999</v>
      </c>
      <c r="D1736" s="468" t="s">
        <v>23</v>
      </c>
      <c r="E1736" s="468" t="s">
        <v>1000</v>
      </c>
      <c r="F1736" s="468" t="s">
        <v>1001</v>
      </c>
      <c r="G1736" s="467" t="s">
        <v>1002</v>
      </c>
    </row>
    <row r="1737" spans="1:7" ht="19.899999999999999" customHeight="1">
      <c r="A1737" s="505"/>
      <c r="B1737" s="466"/>
      <c r="C1737" s="469"/>
      <c r="D1737" s="470"/>
      <c r="E1737" s="471">
        <f t="shared" ref="E1737:E1745" si="598">IFERROR(VLOOKUP(C1737,T_Equipos,4,FALSE),0)</f>
        <v>0</v>
      </c>
      <c r="F1737" s="472">
        <f t="shared" ref="F1737:F1745" si="599">IFERROR(VLOOKUP(C1737,T_Equipos,5,FALSE),0)</f>
        <v>0</v>
      </c>
      <c r="G1737" s="472">
        <f>ROUND(D1737*F1737,2)</f>
        <v>0</v>
      </c>
    </row>
    <row r="1738" spans="1:7" ht="19.899999999999999" customHeight="1">
      <c r="A1738" s="505"/>
      <c r="B1738" s="466"/>
      <c r="C1738" s="469"/>
      <c r="D1738" s="470"/>
      <c r="E1738" s="471">
        <f t="shared" si="598"/>
        <v>0</v>
      </c>
      <c r="F1738" s="472">
        <f t="shared" si="599"/>
        <v>0</v>
      </c>
      <c r="G1738" s="472">
        <f>ROUND(D1738*F1738,2)</f>
        <v>0</v>
      </c>
    </row>
    <row r="1739" spans="1:7" ht="19.899999999999999" customHeight="1">
      <c r="A1739" s="505"/>
      <c r="B1739" s="466"/>
      <c r="C1739" s="469"/>
      <c r="D1739" s="470"/>
      <c r="E1739" s="471">
        <f t="shared" si="598"/>
        <v>0</v>
      </c>
      <c r="F1739" s="472">
        <f t="shared" si="599"/>
        <v>0</v>
      </c>
      <c r="G1739" s="472">
        <f>ROUND(D1739*F1739,2)</f>
        <v>0</v>
      </c>
    </row>
    <row r="1740" spans="1:7" ht="19.899999999999999" customHeight="1">
      <c r="A1740" s="505"/>
      <c r="B1740" s="466"/>
      <c r="C1740" s="469"/>
      <c r="D1740" s="470"/>
      <c r="E1740" s="471">
        <f t="shared" si="598"/>
        <v>0</v>
      </c>
      <c r="F1740" s="472">
        <f t="shared" si="599"/>
        <v>0</v>
      </c>
      <c r="G1740" s="472">
        <f>ROUND(D1740*F1740,2)</f>
        <v>0</v>
      </c>
    </row>
    <row r="1741" spans="1:7" ht="19.899999999999999" customHeight="1">
      <c r="A1741" s="505"/>
      <c r="B1741" s="466"/>
      <c r="C1741" s="469"/>
      <c r="D1741" s="470"/>
      <c r="E1741" s="471">
        <f t="shared" si="598"/>
        <v>0</v>
      </c>
      <c r="F1741" s="472">
        <f t="shared" si="599"/>
        <v>0</v>
      </c>
      <c r="G1741" s="472">
        <f t="shared" ref="G1741:G1746" si="600">ROUND(D1741*F1741,2)</f>
        <v>0</v>
      </c>
    </row>
    <row r="1742" spans="1:7" ht="19.899999999999999" customHeight="1">
      <c r="A1742" s="505"/>
      <c r="B1742" s="466"/>
      <c r="C1742" s="469"/>
      <c r="D1742" s="470"/>
      <c r="E1742" s="471">
        <f t="shared" si="598"/>
        <v>0</v>
      </c>
      <c r="F1742" s="472">
        <f t="shared" si="599"/>
        <v>0</v>
      </c>
      <c r="G1742" s="472">
        <f t="shared" si="600"/>
        <v>0</v>
      </c>
    </row>
    <row r="1743" spans="1:7" ht="19.899999999999999" customHeight="1">
      <c r="A1743" s="505"/>
      <c r="B1743" s="466"/>
      <c r="C1743" s="469"/>
      <c r="D1743" s="470"/>
      <c r="E1743" s="471">
        <f t="shared" si="598"/>
        <v>0</v>
      </c>
      <c r="F1743" s="472">
        <f t="shared" si="599"/>
        <v>0</v>
      </c>
      <c r="G1743" s="472">
        <f t="shared" si="600"/>
        <v>0</v>
      </c>
    </row>
    <row r="1744" spans="1:7" ht="19.899999999999999" customHeight="1">
      <c r="A1744" s="505"/>
      <c r="B1744" s="466"/>
      <c r="C1744" s="469"/>
      <c r="D1744" s="470"/>
      <c r="E1744" s="471">
        <f t="shared" si="598"/>
        <v>0</v>
      </c>
      <c r="F1744" s="472">
        <f t="shared" si="599"/>
        <v>0</v>
      </c>
      <c r="G1744" s="472">
        <f t="shared" si="600"/>
        <v>0</v>
      </c>
    </row>
    <row r="1745" spans="1:7" ht="19.899999999999999" customHeight="1">
      <c r="A1745" s="505"/>
      <c r="B1745" s="466"/>
      <c r="C1745" s="469"/>
      <c r="D1745" s="470"/>
      <c r="E1745" s="471">
        <f t="shared" si="598"/>
        <v>0</v>
      </c>
      <c r="F1745" s="472">
        <f t="shared" si="599"/>
        <v>0</v>
      </c>
      <c r="G1745" s="472">
        <f t="shared" si="600"/>
        <v>0</v>
      </c>
    </row>
    <row r="1746" spans="1:7" ht="19.899999999999999" customHeight="1">
      <c r="A1746" s="505"/>
      <c r="B1746" s="466"/>
      <c r="C1746" s="469"/>
      <c r="D1746" s="470"/>
      <c r="E1746" s="471">
        <f t="shared" ref="E1746" si="601">IFERROR(VLOOKUP(C1746,T_Equipos,4,FALSE),0)</f>
        <v>0</v>
      </c>
      <c r="F1746" s="472">
        <f t="shared" ref="F1746" si="602">IFERROR(VLOOKUP(C1746,T_Equipos,5,FALSE),0)</f>
        <v>0</v>
      </c>
      <c r="G1746" s="472">
        <f t="shared" si="600"/>
        <v>0</v>
      </c>
    </row>
    <row r="1747" spans="1:7" ht="19.899999999999999" customHeight="1">
      <c r="A1747" s="505"/>
      <c r="B1747" s="466"/>
      <c r="C1747" s="163"/>
      <c r="D1747" s="163"/>
      <c r="E1747" s="473"/>
      <c r="F1747" s="458"/>
      <c r="G1747" s="507"/>
    </row>
    <row r="1748" spans="1:7" ht="19.899999999999999" customHeight="1">
      <c r="A1748" s="505"/>
      <c r="B1748" s="163"/>
      <c r="C1748" s="455" t="s">
        <v>1003</v>
      </c>
      <c r="D1748" s="458" t="s">
        <v>1000</v>
      </c>
      <c r="E1748" s="524">
        <f>SUMPRODUCT(D1737:D1746,E1737:E1746)</f>
        <v>0</v>
      </c>
      <c r="F1748" s="458" t="s">
        <v>1004</v>
      </c>
      <c r="G1748" s="525">
        <f>SUM(G1737:G1746)</f>
        <v>0</v>
      </c>
    </row>
    <row r="1749" spans="1:7" ht="19.899999999999999" customHeight="1">
      <c r="A1749" s="505"/>
      <c r="B1749" s="466"/>
      <c r="C1749" s="474"/>
      <c r="D1749" s="473"/>
      <c r="E1749" s="460"/>
      <c r="F1749" s="458"/>
      <c r="G1749" s="511"/>
    </row>
    <row r="1750" spans="1:7" ht="19.899999999999999" customHeight="1">
      <c r="A1750" s="512"/>
      <c r="B1750" s="466"/>
      <c r="C1750" s="458" t="s">
        <v>1005</v>
      </c>
      <c r="D1750" s="475"/>
      <c r="E1750" s="476" t="str">
        <f ca="1">G1732&amp;"/día"</f>
        <v>m/día</v>
      </c>
      <c r="F1750" s="452"/>
      <c r="G1750" s="507"/>
    </row>
    <row r="1751" spans="1:7" ht="19.899999999999999" customHeight="1">
      <c r="A1751" s="505"/>
      <c r="B1751" s="466"/>
      <c r="C1751" s="163"/>
      <c r="D1751" s="459"/>
      <c r="E1751" s="460"/>
      <c r="F1751" s="458"/>
      <c r="G1751" s="507"/>
    </row>
    <row r="1752" spans="1:7" ht="19.899999999999999" customHeight="1">
      <c r="A1752" s="677" t="s">
        <v>575</v>
      </c>
      <c r="B1752" s="678"/>
      <c r="C1752" s="679" t="s">
        <v>0</v>
      </c>
      <c r="D1752" s="691" t="s">
        <v>1864</v>
      </c>
      <c r="E1752" s="691" t="s">
        <v>1863</v>
      </c>
      <c r="F1752" s="683" t="s">
        <v>1006</v>
      </c>
      <c r="G1752" s="685" t="s">
        <v>25</v>
      </c>
    </row>
    <row r="1753" spans="1:7" ht="19.899999999999999" customHeight="1">
      <c r="A1753" s="477" t="s">
        <v>576</v>
      </c>
      <c r="B1753" s="477" t="s">
        <v>577</v>
      </c>
      <c r="C1753" s="680"/>
      <c r="D1753" s="692"/>
      <c r="E1753" s="682"/>
      <c r="F1753" s="684"/>
      <c r="G1753" s="686"/>
    </row>
    <row r="1754" spans="1:7" ht="19.899999999999999" customHeight="1">
      <c r="A1754" s="513"/>
      <c r="B1754" s="163"/>
      <c r="C1754" s="455" t="s">
        <v>1007</v>
      </c>
      <c r="D1754" s="460"/>
      <c r="E1754" s="460"/>
      <c r="F1754" s="163"/>
      <c r="G1754" s="514"/>
    </row>
    <row r="1755" spans="1:7" ht="19.899999999999999" customHeight="1">
      <c r="A1755" s="515">
        <f t="shared" ref="A1755:A1762" si="603">IFERROR(VLOOKUP(C1755,T_Insumos,4,FALSE),0)</f>
        <v>0</v>
      </c>
      <c r="B1755" s="478">
        <f t="shared" ref="B1755:B1762" si="604">IFERROR(VLOOKUP(C1755,T_Insumos,5,FALSE),0)</f>
        <v>0</v>
      </c>
      <c r="C1755" s="469"/>
      <c r="D1755" s="479">
        <f t="shared" ref="D1755:D1762" si="605">IFERROR(VLOOKUP(C1755,T_Insumos,3,FALSE),0)</f>
        <v>0</v>
      </c>
      <c r="E1755" s="472">
        <f>D1755*$G$1748</f>
        <v>0</v>
      </c>
      <c r="F1755" s="475">
        <f>IF(C1755="",0,IFERROR(VLOOKUP(COUNTIF($A$1:A1755,"ANALISIS DE PRECIOS"),T_Rendimiento_Equipo,5,FALSE),0))</f>
        <v>0</v>
      </c>
      <c r="G1755" s="472">
        <f>IFERROR(ROUND(E1755/F1755,2),0)</f>
        <v>0</v>
      </c>
    </row>
    <row r="1756" spans="1:7" ht="19.899999999999999" customHeight="1">
      <c r="A1756" s="515">
        <f t="shared" si="603"/>
        <v>0</v>
      </c>
      <c r="B1756" s="478">
        <f t="shared" si="604"/>
        <v>0</v>
      </c>
      <c r="C1756" s="469"/>
      <c r="D1756" s="479">
        <f t="shared" si="605"/>
        <v>0</v>
      </c>
      <c r="E1756" s="472">
        <f t="shared" ref="E1756:E1763" si="606">D1756*$G$1748</f>
        <v>0</v>
      </c>
      <c r="F1756" s="475">
        <f>IF(C1756="",0,IFERROR(VLOOKUP(COUNTIF($A$1:A1756,"ANALISIS DE PRECIOS"),T_Rendimiento_Equipo,5,FALSE),0))</f>
        <v>0</v>
      </c>
      <c r="G1756" s="472">
        <f t="shared" ref="G1756:G1763" si="607">IFERROR(ROUND(E1756/F1756,2),0)</f>
        <v>0</v>
      </c>
    </row>
    <row r="1757" spans="1:7" ht="19.899999999999999" customHeight="1">
      <c r="A1757" s="515">
        <f t="shared" si="603"/>
        <v>0</v>
      </c>
      <c r="B1757" s="478">
        <f t="shared" si="604"/>
        <v>0</v>
      </c>
      <c r="C1757" s="480"/>
      <c r="D1757" s="479">
        <f t="shared" si="605"/>
        <v>0</v>
      </c>
      <c r="E1757" s="472">
        <f t="shared" si="606"/>
        <v>0</v>
      </c>
      <c r="F1757" s="475">
        <f>IF(C1757="",0,IFERROR(VLOOKUP(COUNTIF($A$1:A1757,"ANALISIS DE PRECIOS"),T_Rendimiento_Equipo,5,FALSE),0))</f>
        <v>0</v>
      </c>
      <c r="G1757" s="472">
        <f t="shared" si="607"/>
        <v>0</v>
      </c>
    </row>
    <row r="1758" spans="1:7" ht="19.899999999999999" customHeight="1">
      <c r="A1758" s="515">
        <f t="shared" si="603"/>
        <v>0</v>
      </c>
      <c r="B1758" s="478">
        <f t="shared" si="604"/>
        <v>0</v>
      </c>
      <c r="C1758" s="480"/>
      <c r="D1758" s="479">
        <f t="shared" si="605"/>
        <v>0</v>
      </c>
      <c r="E1758" s="472">
        <f t="shared" si="606"/>
        <v>0</v>
      </c>
      <c r="F1758" s="475">
        <f>IF(C1758="",0,IFERROR(VLOOKUP(COUNTIF($A$1:A1758,"ANALISIS DE PRECIOS"),T_Rendimiento_Equipo,5,FALSE),0))</f>
        <v>0</v>
      </c>
      <c r="G1758" s="472">
        <f t="shared" si="607"/>
        <v>0</v>
      </c>
    </row>
    <row r="1759" spans="1:7" ht="19.899999999999999" customHeight="1">
      <c r="A1759" s="515">
        <f t="shared" si="603"/>
        <v>0</v>
      </c>
      <c r="B1759" s="478">
        <f t="shared" si="604"/>
        <v>0</v>
      </c>
      <c r="C1759" s="480"/>
      <c r="D1759" s="479">
        <f t="shared" si="605"/>
        <v>0</v>
      </c>
      <c r="E1759" s="472">
        <f t="shared" si="606"/>
        <v>0</v>
      </c>
      <c r="F1759" s="475">
        <f>IF(C1759="",0,IFERROR(VLOOKUP(COUNTIF($A$1:A1759,"ANALISIS DE PRECIOS"),T_Rendimiento_Equipo,5,FALSE),0))</f>
        <v>0</v>
      </c>
      <c r="G1759" s="472">
        <f t="shared" si="607"/>
        <v>0</v>
      </c>
    </row>
    <row r="1760" spans="1:7" ht="19.899999999999999" customHeight="1">
      <c r="A1760" s="515">
        <f t="shared" si="603"/>
        <v>0</v>
      </c>
      <c r="B1760" s="478">
        <f t="shared" si="604"/>
        <v>0</v>
      </c>
      <c r="C1760" s="480"/>
      <c r="D1760" s="479">
        <f t="shared" si="605"/>
        <v>0</v>
      </c>
      <c r="E1760" s="472">
        <f t="shared" si="606"/>
        <v>0</v>
      </c>
      <c r="F1760" s="475">
        <f>IF(C1760="",0,IFERROR(VLOOKUP(COUNTIF($A$1:A1760,"ANALISIS DE PRECIOS"),T_Rendimiento_Equipo,5,FALSE),0))</f>
        <v>0</v>
      </c>
      <c r="G1760" s="472">
        <f t="shared" si="607"/>
        <v>0</v>
      </c>
    </row>
    <row r="1761" spans="1:7" ht="19.899999999999999" customHeight="1">
      <c r="A1761" s="515">
        <f t="shared" si="603"/>
        <v>0</v>
      </c>
      <c r="B1761" s="478">
        <f t="shared" si="604"/>
        <v>0</v>
      </c>
      <c r="C1761" s="480"/>
      <c r="D1761" s="479">
        <f t="shared" si="605"/>
        <v>0</v>
      </c>
      <c r="E1761" s="472">
        <f t="shared" si="606"/>
        <v>0</v>
      </c>
      <c r="F1761" s="475">
        <f>IF(C1761="",0,IFERROR(VLOOKUP(COUNTIF($A$1:A1761,"ANALISIS DE PRECIOS"),T_Rendimiento_Equipo,5,FALSE),0))</f>
        <v>0</v>
      </c>
      <c r="G1761" s="472">
        <f t="shared" si="607"/>
        <v>0</v>
      </c>
    </row>
    <row r="1762" spans="1:7" ht="19.899999999999999" customHeight="1">
      <c r="A1762" s="515">
        <f t="shared" si="603"/>
        <v>0</v>
      </c>
      <c r="B1762" s="478">
        <f t="shared" si="604"/>
        <v>0</v>
      </c>
      <c r="C1762" s="480"/>
      <c r="D1762" s="479">
        <f t="shared" si="605"/>
        <v>0</v>
      </c>
      <c r="E1762" s="472">
        <f t="shared" si="606"/>
        <v>0</v>
      </c>
      <c r="F1762" s="475">
        <f>IF(C1762="",0,IFERROR(VLOOKUP(COUNTIF($A$1:A1762,"ANALISIS DE PRECIOS"),T_Rendimiento_Equipo,5,FALSE),0))</f>
        <v>0</v>
      </c>
      <c r="G1762" s="472">
        <f t="shared" si="607"/>
        <v>0</v>
      </c>
    </row>
    <row r="1763" spans="1:7" ht="19.899999999999999" customHeight="1">
      <c r="A1763" s="515">
        <f t="shared" ref="A1763" si="608">IFERROR(VLOOKUP(C1763,T_Insumos,4,FALSE),0)</f>
        <v>0</v>
      </c>
      <c r="B1763" s="478">
        <f t="shared" ref="B1763" si="609">IFERROR(VLOOKUP(C1763,T_Insumos,5,FALSE),0)</f>
        <v>0</v>
      </c>
      <c r="C1763" s="469"/>
      <c r="D1763" s="479">
        <f t="shared" ref="D1763" si="610">IFERROR(VLOOKUP(C1763,T_Insumos,3,FALSE),0)</f>
        <v>0</v>
      </c>
      <c r="E1763" s="472">
        <f t="shared" si="606"/>
        <v>0</v>
      </c>
      <c r="F1763" s="475">
        <f>IF(C1763="",0,IFERROR(VLOOKUP(COUNTIF($A$1:A1763,"ANALISIS DE PRECIOS"),T_Rendimiento_Equipo,5,FALSE),0))</f>
        <v>0</v>
      </c>
      <c r="G1763" s="472">
        <f t="shared" si="607"/>
        <v>0</v>
      </c>
    </row>
    <row r="1764" spans="1:7" ht="19.899999999999999" customHeight="1">
      <c r="A1764" s="516"/>
      <c r="B1764" s="459"/>
      <c r="C1764" s="163"/>
      <c r="D1764" s="459"/>
      <c r="E1764" s="460"/>
      <c r="F1764" s="481" t="s">
        <v>26</v>
      </c>
      <c r="G1764" s="517">
        <f>SUBTOTAL(9,G1755:G1763)</f>
        <v>0</v>
      </c>
    </row>
    <row r="1765" spans="1:7" ht="19.899999999999999" customHeight="1">
      <c r="A1765" s="513"/>
      <c r="B1765" s="163"/>
      <c r="C1765" s="455" t="s">
        <v>712</v>
      </c>
      <c r="D1765" s="459"/>
      <c r="E1765" s="460"/>
      <c r="F1765" s="461"/>
      <c r="G1765" s="514"/>
    </row>
    <row r="1766" spans="1:7" ht="19.899999999999999" customHeight="1">
      <c r="A1766" s="677" t="s">
        <v>575</v>
      </c>
      <c r="B1766" s="678"/>
      <c r="C1766" s="679" t="s">
        <v>0</v>
      </c>
      <c r="D1766" s="681" t="s">
        <v>23</v>
      </c>
      <c r="E1766" s="681" t="s">
        <v>1830</v>
      </c>
      <c r="F1766" s="683" t="s">
        <v>1006</v>
      </c>
      <c r="G1766" s="685" t="s">
        <v>25</v>
      </c>
    </row>
    <row r="1767" spans="1:7" ht="19.899999999999999" customHeight="1">
      <c r="A1767" s="477" t="s">
        <v>576</v>
      </c>
      <c r="B1767" s="477" t="s">
        <v>577</v>
      </c>
      <c r="C1767" s="680"/>
      <c r="D1767" s="682"/>
      <c r="E1767" s="682"/>
      <c r="F1767" s="684"/>
      <c r="G1767" s="686"/>
    </row>
    <row r="1768" spans="1:7" ht="19.899999999999999" customHeight="1">
      <c r="A1768" s="515">
        <f t="shared" ref="A1768:A1773" si="611">IFERROR(VLOOKUP(C1768,T_Insumos,4,FALSE),0)</f>
        <v>0</v>
      </c>
      <c r="B1768" s="478">
        <f t="shared" ref="B1768:B1773" si="612">IFERROR(VLOOKUP(C1768,T_Insumos,5,FALSE),0)</f>
        <v>0</v>
      </c>
      <c r="C1768" s="482"/>
      <c r="D1768" s="475"/>
      <c r="E1768" s="472">
        <f t="shared" ref="E1768:E1773" si="613">IFERROR(VLOOKUP(C1768,T_Insumos,3,FALSE),0)</f>
        <v>0</v>
      </c>
      <c r="F1768" s="475">
        <f>IF(C1768="",0,IFERROR(VLOOKUP(COUNTIF($A$1:A1768,"ANALISIS DE PRECIOS"),T_Rendimiento_Equipo,5,FALSE),0))</f>
        <v>0</v>
      </c>
      <c r="G1768" s="472">
        <f>IFERROR(ROUND(D1768*E1768/F1768,2),0)</f>
        <v>0</v>
      </c>
    </row>
    <row r="1769" spans="1:7" ht="19.899999999999999" customHeight="1">
      <c r="A1769" s="515">
        <f t="shared" si="611"/>
        <v>0</v>
      </c>
      <c r="B1769" s="478">
        <f t="shared" si="612"/>
        <v>0</v>
      </c>
      <c r="C1769" s="469"/>
      <c r="D1769" s="475"/>
      <c r="E1769" s="472">
        <f t="shared" si="613"/>
        <v>0</v>
      </c>
      <c r="F1769" s="475">
        <f>IF(C1769="",0,IFERROR(VLOOKUP(COUNTIF($A$1:A1769,"ANALISIS DE PRECIOS"),T_Rendimiento_Equipo,5,FALSE),0))</f>
        <v>0</v>
      </c>
      <c r="G1769" s="472">
        <f t="shared" ref="G1769:G1774" si="614">IFERROR(ROUND(D1769*E1769/F1769,2),0)</f>
        <v>0</v>
      </c>
    </row>
    <row r="1770" spans="1:7" ht="19.899999999999999" customHeight="1">
      <c r="A1770" s="515">
        <f t="shared" si="611"/>
        <v>0</v>
      </c>
      <c r="B1770" s="478">
        <f t="shared" si="612"/>
        <v>0</v>
      </c>
      <c r="C1770" s="469"/>
      <c r="D1770" s="475"/>
      <c r="E1770" s="472">
        <f t="shared" si="613"/>
        <v>0</v>
      </c>
      <c r="F1770" s="475">
        <f>IF(C1770="",0,IFERROR(VLOOKUP(COUNTIF($A$1:A1770,"ANALISIS DE PRECIOS"),T_Rendimiento_Equipo,5,FALSE),0))</f>
        <v>0</v>
      </c>
      <c r="G1770" s="472">
        <f t="shared" si="614"/>
        <v>0</v>
      </c>
    </row>
    <row r="1771" spans="1:7" ht="19.899999999999999" customHeight="1">
      <c r="A1771" s="515">
        <f t="shared" si="611"/>
        <v>0</v>
      </c>
      <c r="B1771" s="478">
        <f t="shared" si="612"/>
        <v>0</v>
      </c>
      <c r="C1771" s="469"/>
      <c r="D1771" s="475"/>
      <c r="E1771" s="472">
        <f t="shared" si="613"/>
        <v>0</v>
      </c>
      <c r="F1771" s="475">
        <f>IF(C1771="",0,IFERROR(VLOOKUP(COUNTIF($A$1:A1771,"ANALISIS DE PRECIOS"),T_Rendimiento_Equipo,5,FALSE),0))</f>
        <v>0</v>
      </c>
      <c r="G1771" s="472">
        <f t="shared" si="614"/>
        <v>0</v>
      </c>
    </row>
    <row r="1772" spans="1:7" ht="19.899999999999999" customHeight="1">
      <c r="A1772" s="515">
        <f t="shared" si="611"/>
        <v>0</v>
      </c>
      <c r="B1772" s="478">
        <f t="shared" si="612"/>
        <v>0</v>
      </c>
      <c r="C1772" s="469"/>
      <c r="D1772" s="475"/>
      <c r="E1772" s="472">
        <f t="shared" si="613"/>
        <v>0</v>
      </c>
      <c r="F1772" s="475">
        <f>IF(C1772="",0,IFERROR(VLOOKUP(COUNTIF($A$1:A1772,"ANALISIS DE PRECIOS"),T_Rendimiento_Equipo,5,FALSE),0))</f>
        <v>0</v>
      </c>
      <c r="G1772" s="472">
        <f t="shared" si="614"/>
        <v>0</v>
      </c>
    </row>
    <row r="1773" spans="1:7" ht="19.899999999999999" customHeight="1">
      <c r="A1773" s="515">
        <f t="shared" si="611"/>
        <v>0</v>
      </c>
      <c r="B1773" s="478">
        <f t="shared" si="612"/>
        <v>0</v>
      </c>
      <c r="C1773" s="469"/>
      <c r="D1773" s="483"/>
      <c r="E1773" s="472">
        <f t="shared" si="613"/>
        <v>0</v>
      </c>
      <c r="F1773" s="475">
        <f>IF(C1773="",0,IFERROR(VLOOKUP(COUNTIF($A$1:A1773,"ANALISIS DE PRECIOS"),T_Rendimiento_Equipo,5,FALSE),0))</f>
        <v>0</v>
      </c>
      <c r="G1773" s="472">
        <f t="shared" si="614"/>
        <v>0</v>
      </c>
    </row>
    <row r="1774" spans="1:7" ht="19.899999999999999" customHeight="1">
      <c r="A1774" s="515">
        <f t="shared" ref="A1774" si="615">IFERROR(VLOOKUP(C1774,T_Insumos,4,FALSE),0)</f>
        <v>0</v>
      </c>
      <c r="B1774" s="478">
        <f t="shared" ref="B1774" si="616">IFERROR(VLOOKUP(C1774,T_Insumos,5,FALSE),0)</f>
        <v>0</v>
      </c>
      <c r="C1774" s="478"/>
      <c r="D1774" s="484"/>
      <c r="E1774" s="472">
        <f t="shared" ref="E1774" si="617">IFERROR(VLOOKUP(C1774,T_Insumos,3,FALSE),0)</f>
        <v>0</v>
      </c>
      <c r="F1774" s="475">
        <f>IF(C1774="",0,IFERROR(VLOOKUP(COUNTIF($A$1:A1774,"ANALISIS DE PRECIOS"),T_Rendimiento_Equipo,5,FALSE),0))</f>
        <v>0</v>
      </c>
      <c r="G1774" s="472">
        <f t="shared" si="614"/>
        <v>0</v>
      </c>
    </row>
    <row r="1775" spans="1:7" ht="19.899999999999999" customHeight="1">
      <c r="A1775" s="516"/>
      <c r="B1775" s="459"/>
      <c r="C1775" s="163"/>
      <c r="D1775" s="459"/>
      <c r="E1775" s="460"/>
      <c r="F1775" s="481" t="s">
        <v>27</v>
      </c>
      <c r="G1775" s="518">
        <f>SUBTOTAL(9,G1768:G1774)</f>
        <v>0</v>
      </c>
    </row>
    <row r="1776" spans="1:7" ht="19.899999999999999" customHeight="1">
      <c r="A1776" s="513"/>
      <c r="B1776" s="163"/>
      <c r="C1776" s="455" t="s">
        <v>1013</v>
      </c>
      <c r="D1776" s="459"/>
      <c r="E1776" s="460"/>
      <c r="F1776" s="461"/>
      <c r="G1776" s="514"/>
    </row>
    <row r="1777" spans="1:7" ht="19.899999999999999" customHeight="1">
      <c r="A1777" s="677" t="s">
        <v>575</v>
      </c>
      <c r="B1777" s="678"/>
      <c r="C1777" s="679" t="s">
        <v>0</v>
      </c>
      <c r="D1777" s="679" t="s">
        <v>1865</v>
      </c>
      <c r="E1777" s="681" t="s">
        <v>23</v>
      </c>
      <c r="F1777" s="683" t="s">
        <v>24</v>
      </c>
      <c r="G1777" s="685" t="s">
        <v>25</v>
      </c>
    </row>
    <row r="1778" spans="1:7" ht="19.899999999999999" customHeight="1">
      <c r="A1778" s="477" t="s">
        <v>576</v>
      </c>
      <c r="B1778" s="477" t="s">
        <v>577</v>
      </c>
      <c r="C1778" s="680"/>
      <c r="D1778" s="680"/>
      <c r="E1778" s="682"/>
      <c r="F1778" s="684"/>
      <c r="G1778" s="686"/>
    </row>
    <row r="1779" spans="1:7" ht="19.899999999999999" customHeight="1">
      <c r="A1779" s="515">
        <f t="shared" ref="A1779:A1788" si="618">IFERROR(VLOOKUP(C1779,T_Insumos,4,FALSE),0)</f>
        <v>0</v>
      </c>
      <c r="B1779" s="478">
        <f t="shared" ref="B1779:B1788" si="619">IFERROR(VLOOKUP(C1779,T_Insumos,5,FALSE),0)</f>
        <v>0</v>
      </c>
      <c r="C1779" s="478"/>
      <c r="D1779" s="526">
        <f t="shared" ref="D1779:D1788" si="620">IFERROR(VLOOKUP(C1779,T_Insumos,2,FALSE),0)</f>
        <v>0</v>
      </c>
      <c r="E1779" s="626"/>
      <c r="F1779" s="472">
        <f t="shared" ref="F1779:F1788" si="621">IFERROR(VLOOKUP(C1779,T_Insumos,3,FALSE),0)</f>
        <v>0</v>
      </c>
      <c r="G1779" s="472">
        <f>ROUND(E1779*F1779,2)</f>
        <v>0</v>
      </c>
    </row>
    <row r="1780" spans="1:7" ht="19.899999999999999" customHeight="1">
      <c r="A1780" s="515">
        <f t="shared" si="618"/>
        <v>0</v>
      </c>
      <c r="B1780" s="478">
        <f t="shared" si="619"/>
        <v>0</v>
      </c>
      <c r="C1780" s="478"/>
      <c r="D1780" s="526">
        <f t="shared" si="620"/>
        <v>0</v>
      </c>
      <c r="E1780" s="626"/>
      <c r="F1780" s="472">
        <f t="shared" si="621"/>
        <v>0</v>
      </c>
      <c r="G1780" s="472">
        <f t="shared" ref="G1780:G1789" si="622">ROUND(E1780*F1780,2)</f>
        <v>0</v>
      </c>
    </row>
    <row r="1781" spans="1:7" ht="19.899999999999999" customHeight="1">
      <c r="A1781" s="515">
        <f t="shared" si="618"/>
        <v>0</v>
      </c>
      <c r="B1781" s="478">
        <f t="shared" si="619"/>
        <v>0</v>
      </c>
      <c r="C1781" s="478"/>
      <c r="D1781" s="526">
        <f t="shared" si="620"/>
        <v>0</v>
      </c>
      <c r="E1781" s="626"/>
      <c r="F1781" s="472">
        <f t="shared" si="621"/>
        <v>0</v>
      </c>
      <c r="G1781" s="472">
        <f t="shared" si="622"/>
        <v>0</v>
      </c>
    </row>
    <row r="1782" spans="1:7" ht="19.899999999999999" customHeight="1">
      <c r="A1782" s="515">
        <f t="shared" si="618"/>
        <v>0</v>
      </c>
      <c r="B1782" s="478">
        <f t="shared" si="619"/>
        <v>0</v>
      </c>
      <c r="C1782" s="478"/>
      <c r="D1782" s="526">
        <f t="shared" si="620"/>
        <v>0</v>
      </c>
      <c r="E1782" s="470"/>
      <c r="F1782" s="472">
        <f t="shared" si="621"/>
        <v>0</v>
      </c>
      <c r="G1782" s="472">
        <f t="shared" si="622"/>
        <v>0</v>
      </c>
    </row>
    <row r="1783" spans="1:7" ht="19.899999999999999" customHeight="1">
      <c r="A1783" s="515">
        <f t="shared" si="618"/>
        <v>0</v>
      </c>
      <c r="B1783" s="478">
        <f t="shared" si="619"/>
        <v>0</v>
      </c>
      <c r="C1783" s="478"/>
      <c r="D1783" s="526">
        <f t="shared" si="620"/>
        <v>0</v>
      </c>
      <c r="E1783" s="470"/>
      <c r="F1783" s="472">
        <f t="shared" si="621"/>
        <v>0</v>
      </c>
      <c r="G1783" s="472">
        <f t="shared" si="622"/>
        <v>0</v>
      </c>
    </row>
    <row r="1784" spans="1:7" ht="19.899999999999999" customHeight="1">
      <c r="A1784" s="515">
        <f t="shared" si="618"/>
        <v>0</v>
      </c>
      <c r="B1784" s="478">
        <f t="shared" si="619"/>
        <v>0</v>
      </c>
      <c r="C1784" s="478"/>
      <c r="D1784" s="526">
        <f t="shared" si="620"/>
        <v>0</v>
      </c>
      <c r="E1784" s="470"/>
      <c r="F1784" s="472">
        <f t="shared" si="621"/>
        <v>0</v>
      </c>
      <c r="G1784" s="472">
        <f t="shared" si="622"/>
        <v>0</v>
      </c>
    </row>
    <row r="1785" spans="1:7" ht="19.899999999999999" customHeight="1">
      <c r="A1785" s="515">
        <f t="shared" si="618"/>
        <v>0</v>
      </c>
      <c r="B1785" s="478">
        <f t="shared" si="619"/>
        <v>0</v>
      </c>
      <c r="C1785" s="478"/>
      <c r="D1785" s="526">
        <f t="shared" si="620"/>
        <v>0</v>
      </c>
      <c r="E1785" s="470"/>
      <c r="F1785" s="472">
        <f t="shared" si="621"/>
        <v>0</v>
      </c>
      <c r="G1785" s="472">
        <f t="shared" si="622"/>
        <v>0</v>
      </c>
    </row>
    <row r="1786" spans="1:7" ht="19.899999999999999" customHeight="1">
      <c r="A1786" s="515">
        <f t="shared" si="618"/>
        <v>0</v>
      </c>
      <c r="B1786" s="478">
        <f t="shared" si="619"/>
        <v>0</v>
      </c>
      <c r="C1786" s="478"/>
      <c r="D1786" s="526">
        <f t="shared" si="620"/>
        <v>0</v>
      </c>
      <c r="E1786" s="470"/>
      <c r="F1786" s="472">
        <f t="shared" si="621"/>
        <v>0</v>
      </c>
      <c r="G1786" s="472">
        <f t="shared" si="622"/>
        <v>0</v>
      </c>
    </row>
    <row r="1787" spans="1:7" ht="19.899999999999999" customHeight="1">
      <c r="A1787" s="515">
        <f t="shared" si="618"/>
        <v>0</v>
      </c>
      <c r="B1787" s="478">
        <f t="shared" si="619"/>
        <v>0</v>
      </c>
      <c r="C1787" s="478"/>
      <c r="D1787" s="526">
        <f t="shared" si="620"/>
        <v>0</v>
      </c>
      <c r="E1787" s="470"/>
      <c r="F1787" s="472">
        <f t="shared" si="621"/>
        <v>0</v>
      </c>
      <c r="G1787" s="472">
        <f t="shared" si="622"/>
        <v>0</v>
      </c>
    </row>
    <row r="1788" spans="1:7" ht="19.899999999999999" customHeight="1">
      <c r="A1788" s="515">
        <f t="shared" si="618"/>
        <v>0</v>
      </c>
      <c r="B1788" s="478">
        <f t="shared" si="619"/>
        <v>0</v>
      </c>
      <c r="C1788" s="478"/>
      <c r="D1788" s="526">
        <f t="shared" si="620"/>
        <v>0</v>
      </c>
      <c r="E1788" s="470"/>
      <c r="F1788" s="472">
        <f t="shared" si="621"/>
        <v>0</v>
      </c>
      <c r="G1788" s="472">
        <f t="shared" si="622"/>
        <v>0</v>
      </c>
    </row>
    <row r="1789" spans="1:7" ht="19.899999999999999" customHeight="1">
      <c r="A1789" s="515">
        <f t="shared" ref="A1789" si="623">IFERROR(VLOOKUP(C1789,T_Insumos,4,FALSE),0)</f>
        <v>0</v>
      </c>
      <c r="B1789" s="478">
        <f t="shared" ref="B1789" si="624">IFERROR(VLOOKUP(C1789,T_Insumos,5,FALSE),0)</f>
        <v>0</v>
      </c>
      <c r="C1789" s="478"/>
      <c r="D1789" s="526">
        <f t="shared" ref="D1789" si="625">IFERROR(VLOOKUP(C1789,T_Insumos,2,FALSE),0)</f>
        <v>0</v>
      </c>
      <c r="E1789" s="470"/>
      <c r="F1789" s="472">
        <f t="shared" ref="F1789" si="626">IFERROR(VLOOKUP(C1789,T_Insumos,3,FALSE),0)</f>
        <v>0</v>
      </c>
      <c r="G1789" s="472">
        <f t="shared" si="622"/>
        <v>0</v>
      </c>
    </row>
    <row r="1790" spans="1:7" ht="19.899999999999999" customHeight="1">
      <c r="A1790" s="513"/>
      <c r="B1790" s="163"/>
      <c r="C1790" s="163"/>
      <c r="D1790" s="459"/>
      <c r="E1790" s="460"/>
      <c r="F1790" s="481" t="s">
        <v>28</v>
      </c>
      <c r="G1790" s="518">
        <f>SUBTOTAL(9,G1779:G1789)</f>
        <v>0</v>
      </c>
    </row>
    <row r="1791" spans="1:7" ht="19.899999999999999" customHeight="1">
      <c r="A1791" s="513"/>
      <c r="B1791" s="163"/>
      <c r="C1791" s="455" t="s">
        <v>1014</v>
      </c>
      <c r="D1791" s="459"/>
      <c r="E1791" s="460"/>
      <c r="F1791" s="461"/>
      <c r="G1791" s="514"/>
    </row>
    <row r="1792" spans="1:7" ht="19.899999999999999" customHeight="1">
      <c r="A1792" s="677" t="s">
        <v>575</v>
      </c>
      <c r="B1792" s="678"/>
      <c r="C1792" s="679" t="s">
        <v>0</v>
      </c>
      <c r="D1792" s="679" t="s">
        <v>1865</v>
      </c>
      <c r="E1792" s="681" t="s">
        <v>23</v>
      </c>
      <c r="F1792" s="683" t="s">
        <v>24</v>
      </c>
      <c r="G1792" s="685" t="s">
        <v>25</v>
      </c>
    </row>
    <row r="1793" spans="1:8" ht="19.899999999999999" customHeight="1">
      <c r="A1793" s="477" t="s">
        <v>576</v>
      </c>
      <c r="B1793" s="477" t="s">
        <v>577</v>
      </c>
      <c r="C1793" s="680"/>
      <c r="D1793" s="680"/>
      <c r="E1793" s="682"/>
      <c r="F1793" s="684"/>
      <c r="G1793" s="686"/>
    </row>
    <row r="1794" spans="1:8" ht="19.899999999999999" customHeight="1">
      <c r="A1794" s="515">
        <f>IFERROR(VLOOKUP(C1794,T_Insumos,4,FALSE),0)</f>
        <v>0</v>
      </c>
      <c r="B1794" s="478">
        <f>IFERROR(VLOOKUP(C1794,T_Insumos,5,FALSE),0)</f>
        <v>0</v>
      </c>
      <c r="C1794" s="469"/>
      <c r="D1794" s="526">
        <f>IF(C1794=0,0,"$/tnkm")</f>
        <v>0</v>
      </c>
      <c r="E1794" s="470"/>
      <c r="F1794" s="472">
        <f>IFERROR(VLOOKUP(C1794,T_Insumos,3,FALSE),0)</f>
        <v>0</v>
      </c>
      <c r="G1794" s="472">
        <f>ROUND(E1794*F1794,2)</f>
        <v>0</v>
      </c>
    </row>
    <row r="1795" spans="1:8" ht="19.899999999999999" customHeight="1">
      <c r="A1795" s="515">
        <f>IFERROR(VLOOKUP(C1795,T_Insumos,4,FALSE),0)</f>
        <v>0</v>
      </c>
      <c r="B1795" s="478">
        <f>IFERROR(VLOOKUP(C1795,T_Insumos,5,FALSE),0)</f>
        <v>0</v>
      </c>
      <c r="C1795" s="469"/>
      <c r="D1795" s="526">
        <f>IF(C1795=0,0,"$/tnkm")</f>
        <v>0</v>
      </c>
      <c r="E1795" s="486"/>
      <c r="F1795" s="472">
        <f>IFERROR(VLOOKUP(C1795,T_Insumos,3,FALSE),0)</f>
        <v>0</v>
      </c>
      <c r="G1795" s="472">
        <f t="shared" ref="G1795" si="627">ROUND(E1795*F1795,2)</f>
        <v>0</v>
      </c>
    </row>
    <row r="1796" spans="1:8" ht="19.899999999999999" customHeight="1">
      <c r="A1796" s="513"/>
      <c r="B1796" s="163"/>
      <c r="C1796" s="163"/>
      <c r="D1796" s="459"/>
      <c r="E1796" s="460"/>
      <c r="F1796" s="481" t="s">
        <v>1015</v>
      </c>
      <c r="G1796" s="518">
        <f>SUBTOTAL(9,G1794:G1795)</f>
        <v>0</v>
      </c>
    </row>
    <row r="1797" spans="1:8" ht="19.899999999999999" customHeight="1">
      <c r="A1797" s="516"/>
      <c r="B1797" s="459"/>
      <c r="C1797" s="163"/>
      <c r="D1797" s="459"/>
      <c r="E1797" s="460"/>
      <c r="F1797" s="461"/>
      <c r="G1797" s="514"/>
    </row>
    <row r="1798" spans="1:8" ht="19.899999999999999" customHeight="1">
      <c r="A1798" s="574" t="str">
        <f>B1732</f>
        <v>5.2.2</v>
      </c>
      <c r="B1798" s="571" t="str">
        <f ca="1">C1732</f>
        <v>Limpieza y preparación del terreno</v>
      </c>
      <c r="C1798" s="459"/>
      <c r="D1798" s="459" t="s">
        <v>1831</v>
      </c>
      <c r="E1798" s="572"/>
      <c r="F1798" s="573" t="str">
        <f ca="1">"$/"&amp;G1732</f>
        <v>$/m</v>
      </c>
      <c r="G1798" s="523">
        <f>SUBTOTAL(9,G1755:G1797)</f>
        <v>0</v>
      </c>
    </row>
    <row r="1799" spans="1:8" ht="19.899999999999999" customHeight="1">
      <c r="A1799" s="519"/>
      <c r="B1799" s="520"/>
      <c r="C1799" s="521"/>
      <c r="D1799" s="521" t="s">
        <v>2041</v>
      </c>
      <c r="E1799" s="522"/>
      <c r="F1799" s="575" t="str">
        <f ca="1">"$/"&amp;G1732</f>
        <v>$/m</v>
      </c>
      <c r="G1799" s="523">
        <f>ROUND(G1798*Coeficiente_Paso,2)</f>
        <v>0</v>
      </c>
    </row>
    <row r="1800" spans="1:8" ht="19.899999999999999" customHeight="1">
      <c r="A1800" s="163"/>
      <c r="B1800" s="163"/>
      <c r="C1800" s="163"/>
      <c r="D1800" s="163"/>
      <c r="E1800" s="163"/>
      <c r="F1800" s="163"/>
      <c r="G1800" s="163"/>
    </row>
    <row r="1801" spans="1:8" ht="19.899999999999999" customHeight="1">
      <c r="A1801" s="687" t="s">
        <v>30</v>
      </c>
      <c r="B1801" s="688"/>
      <c r="C1801" s="688"/>
      <c r="D1801" s="688"/>
      <c r="E1801" s="688"/>
      <c r="F1801" s="688"/>
      <c r="G1801" s="689"/>
      <c r="H1801" s="60"/>
    </row>
    <row r="1802" spans="1:8" ht="19.899999999999999" customHeight="1">
      <c r="A1802" s="502" t="s">
        <v>710</v>
      </c>
      <c r="B1802" s="453" t="str">
        <f>Comitente</f>
        <v>DEPARTAMENTO DE HIDRAULICA</v>
      </c>
      <c r="C1802" s="454"/>
      <c r="D1802" s="455"/>
      <c r="E1802" s="455"/>
      <c r="F1802" s="456"/>
      <c r="G1802" s="503"/>
      <c r="H1802" s="60"/>
    </row>
    <row r="1803" spans="1:8" ht="19.899999999999999" customHeight="1">
      <c r="A1803" s="502" t="s">
        <v>711</v>
      </c>
      <c r="B1803" s="453">
        <f>Contratista</f>
        <v>0</v>
      </c>
      <c r="C1803" s="457"/>
      <c r="D1803" s="457"/>
      <c r="E1803" s="457"/>
      <c r="F1803" s="453"/>
      <c r="G1803" s="504"/>
      <c r="H1803" s="60"/>
    </row>
    <row r="1804" spans="1:8" ht="19.899999999999999" customHeight="1">
      <c r="A1804" s="502" t="s">
        <v>20</v>
      </c>
      <c r="B1804" s="453" t="str">
        <f>Obra</f>
        <v>MEJORA DE LA RED DE RIEGO DEL VALLE DE JÁCHAL</v>
      </c>
      <c r="C1804" s="457"/>
      <c r="D1804" s="457"/>
      <c r="E1804" s="457"/>
      <c r="F1804" s="453" t="s">
        <v>31</v>
      </c>
      <c r="G1804" s="504" t="str">
        <f>Fecha_Base</f>
        <v>XX/07/2020</v>
      </c>
      <c r="H1804" s="60"/>
    </row>
    <row r="1805" spans="1:8" ht="19.899999999999999" customHeight="1">
      <c r="A1805" s="505" t="s">
        <v>709</v>
      </c>
      <c r="B1805" s="458" t="str">
        <f>Ubicación</f>
        <v>JACHAL</v>
      </c>
      <c r="C1805" s="458"/>
      <c r="D1805" s="459"/>
      <c r="E1805" s="460"/>
      <c r="F1805" s="461"/>
      <c r="G1805" s="506"/>
      <c r="H1805" s="60"/>
    </row>
    <row r="1806" spans="1:8" ht="19.899999999999999" customHeight="1">
      <c r="A1806" s="505" t="s">
        <v>32</v>
      </c>
      <c r="B1806" s="462">
        <f>IFERROR(VALUE(LEFT(B1807,FIND(".",B1807)-1)),"")</f>
        <v>5</v>
      </c>
      <c r="C1806" s="163" t="str">
        <f ca="1">IFERROR(VLOOKUP(B1806,T_Computo_Presupuesto,2,FALSE),0)</f>
        <v>CANAL MATRIZ</v>
      </c>
      <c r="D1806" s="163"/>
      <c r="E1806" s="460"/>
      <c r="F1806" s="461"/>
      <c r="G1806" s="506"/>
      <c r="H1806" s="60"/>
    </row>
    <row r="1807" spans="1:8" ht="19.899999999999999" customHeight="1">
      <c r="A1807" s="505" t="s">
        <v>21</v>
      </c>
      <c r="B1807" s="463" t="str">
        <f>IFERROR(VLOOKUP(COUNTIF($A$1:A1807,"ANALISIS DE PRECIOS"),T_NumeroItem,2,FALSE),"")</f>
        <v>5.2.3</v>
      </c>
      <c r="C1807" s="690" t="str">
        <f ca="1">IFERROR(VLOOKUP(B1807,T_Computo_Presupuesto,2,FALSE),0)</f>
        <v>Demoliciones</v>
      </c>
      <c r="D1807" s="690"/>
      <c r="E1807" s="690"/>
      <c r="F1807" s="458" t="s">
        <v>22</v>
      </c>
      <c r="G1807" s="507" t="str">
        <f ca="1">IFERROR(VLOOKUP(B1807,T_Computo_Presupuesto,4,FALSE),0)</f>
        <v>m3</v>
      </c>
      <c r="H1807" s="60"/>
    </row>
    <row r="1808" spans="1:8" ht="19.899999999999999" customHeight="1">
      <c r="A1808" s="505"/>
      <c r="B1808" s="458"/>
      <c r="C1808" s="163"/>
      <c r="D1808" s="459"/>
      <c r="E1808" s="460"/>
      <c r="F1808" s="163"/>
      <c r="G1808" s="508"/>
      <c r="H1808" s="60"/>
    </row>
    <row r="1809" spans="1:8" ht="19.899999999999999" customHeight="1">
      <c r="A1809" s="509"/>
      <c r="B1809" s="464"/>
      <c r="C1809" s="465" t="s">
        <v>998</v>
      </c>
      <c r="D1809" s="464"/>
      <c r="E1809" s="464"/>
      <c r="F1809" s="464"/>
      <c r="G1809" s="510"/>
      <c r="H1809" s="60"/>
    </row>
    <row r="1810" spans="1:8" ht="19.899999999999999" customHeight="1">
      <c r="A1810" s="505"/>
      <c r="B1810" s="466"/>
      <c r="C1810" s="163"/>
      <c r="D1810" s="459"/>
      <c r="E1810" s="460"/>
      <c r="F1810" s="458"/>
      <c r="G1810" s="507"/>
      <c r="H1810" s="60"/>
    </row>
    <row r="1811" spans="1:8" ht="19.899999999999999" customHeight="1">
      <c r="A1811" s="505"/>
      <c r="B1811" s="466"/>
      <c r="C1811" s="467" t="s">
        <v>999</v>
      </c>
      <c r="D1811" s="468" t="s">
        <v>23</v>
      </c>
      <c r="E1811" s="468" t="s">
        <v>1000</v>
      </c>
      <c r="F1811" s="468" t="s">
        <v>1001</v>
      </c>
      <c r="G1811" s="467" t="s">
        <v>1002</v>
      </c>
    </row>
    <row r="1812" spans="1:8" ht="19.899999999999999" customHeight="1">
      <c r="A1812" s="505"/>
      <c r="B1812" s="466"/>
      <c r="C1812" s="469"/>
      <c r="D1812" s="470"/>
      <c r="E1812" s="471">
        <f t="shared" ref="E1812:E1820" si="628">IFERROR(VLOOKUP(C1812,T_Equipos,4,FALSE),0)</f>
        <v>0</v>
      </c>
      <c r="F1812" s="472">
        <f t="shared" ref="F1812:F1820" si="629">IFERROR(VLOOKUP(C1812,T_Equipos,5,FALSE),0)</f>
        <v>0</v>
      </c>
      <c r="G1812" s="472">
        <f>ROUND(D1812*F1812,2)</f>
        <v>0</v>
      </c>
    </row>
    <row r="1813" spans="1:8" ht="19.899999999999999" customHeight="1">
      <c r="A1813" s="505"/>
      <c r="B1813" s="466"/>
      <c r="C1813" s="469"/>
      <c r="D1813" s="470"/>
      <c r="E1813" s="471">
        <f t="shared" si="628"/>
        <v>0</v>
      </c>
      <c r="F1813" s="472">
        <f t="shared" si="629"/>
        <v>0</v>
      </c>
      <c r="G1813" s="472">
        <f>ROUND(D1813*F1813,2)</f>
        <v>0</v>
      </c>
    </row>
    <row r="1814" spans="1:8" ht="19.899999999999999" customHeight="1">
      <c r="A1814" s="505"/>
      <c r="B1814" s="466"/>
      <c r="C1814" s="469"/>
      <c r="D1814" s="470"/>
      <c r="E1814" s="471">
        <f t="shared" si="628"/>
        <v>0</v>
      </c>
      <c r="F1814" s="472">
        <f t="shared" si="629"/>
        <v>0</v>
      </c>
      <c r="G1814" s="472">
        <f>ROUND(D1814*F1814,2)</f>
        <v>0</v>
      </c>
    </row>
    <row r="1815" spans="1:8" ht="19.899999999999999" customHeight="1">
      <c r="A1815" s="505"/>
      <c r="B1815" s="466"/>
      <c r="C1815" s="469"/>
      <c r="D1815" s="470"/>
      <c r="E1815" s="471">
        <f t="shared" si="628"/>
        <v>0</v>
      </c>
      <c r="F1815" s="472">
        <f t="shared" si="629"/>
        <v>0</v>
      </c>
      <c r="G1815" s="472">
        <f>ROUND(D1815*F1815,2)</f>
        <v>0</v>
      </c>
    </row>
    <row r="1816" spans="1:8" ht="19.899999999999999" customHeight="1">
      <c r="A1816" s="505"/>
      <c r="B1816" s="466"/>
      <c r="C1816" s="469"/>
      <c r="D1816" s="470"/>
      <c r="E1816" s="471">
        <f t="shared" si="628"/>
        <v>0</v>
      </c>
      <c r="F1816" s="472">
        <f t="shared" si="629"/>
        <v>0</v>
      </c>
      <c r="G1816" s="472">
        <f t="shared" ref="G1816:G1821" si="630">ROUND(D1816*F1816,2)</f>
        <v>0</v>
      </c>
    </row>
    <row r="1817" spans="1:8" ht="19.899999999999999" customHeight="1">
      <c r="A1817" s="505"/>
      <c r="B1817" s="466"/>
      <c r="C1817" s="469"/>
      <c r="D1817" s="470"/>
      <c r="E1817" s="471">
        <f t="shared" si="628"/>
        <v>0</v>
      </c>
      <c r="F1817" s="472">
        <f t="shared" si="629"/>
        <v>0</v>
      </c>
      <c r="G1817" s="472">
        <f t="shared" si="630"/>
        <v>0</v>
      </c>
    </row>
    <row r="1818" spans="1:8" ht="19.899999999999999" customHeight="1">
      <c r="A1818" s="505"/>
      <c r="B1818" s="466"/>
      <c r="C1818" s="469"/>
      <c r="D1818" s="470"/>
      <c r="E1818" s="471">
        <f t="shared" si="628"/>
        <v>0</v>
      </c>
      <c r="F1818" s="472">
        <f t="shared" si="629"/>
        <v>0</v>
      </c>
      <c r="G1818" s="472">
        <f t="shared" si="630"/>
        <v>0</v>
      </c>
    </row>
    <row r="1819" spans="1:8" ht="19.899999999999999" customHeight="1">
      <c r="A1819" s="505"/>
      <c r="B1819" s="466"/>
      <c r="C1819" s="469"/>
      <c r="D1819" s="470"/>
      <c r="E1819" s="471">
        <f t="shared" si="628"/>
        <v>0</v>
      </c>
      <c r="F1819" s="472">
        <f t="shared" si="629"/>
        <v>0</v>
      </c>
      <c r="G1819" s="472">
        <f t="shared" si="630"/>
        <v>0</v>
      </c>
    </row>
    <row r="1820" spans="1:8" ht="19.899999999999999" customHeight="1">
      <c r="A1820" s="505"/>
      <c r="B1820" s="466"/>
      <c r="C1820" s="469"/>
      <c r="D1820" s="470"/>
      <c r="E1820" s="471">
        <f t="shared" si="628"/>
        <v>0</v>
      </c>
      <c r="F1820" s="472">
        <f t="shared" si="629"/>
        <v>0</v>
      </c>
      <c r="G1820" s="472">
        <f t="shared" si="630"/>
        <v>0</v>
      </c>
    </row>
    <row r="1821" spans="1:8" ht="19.899999999999999" customHeight="1">
      <c r="A1821" s="505"/>
      <c r="B1821" s="466"/>
      <c r="C1821" s="469"/>
      <c r="D1821" s="470"/>
      <c r="E1821" s="471">
        <f t="shared" ref="E1821" si="631">IFERROR(VLOOKUP(C1821,T_Equipos,4,FALSE),0)</f>
        <v>0</v>
      </c>
      <c r="F1821" s="472">
        <f t="shared" ref="F1821" si="632">IFERROR(VLOOKUP(C1821,T_Equipos,5,FALSE),0)</f>
        <v>0</v>
      </c>
      <c r="G1821" s="472">
        <f t="shared" si="630"/>
        <v>0</v>
      </c>
    </row>
    <row r="1822" spans="1:8" ht="19.899999999999999" customHeight="1">
      <c r="A1822" s="505"/>
      <c r="B1822" s="466"/>
      <c r="C1822" s="163"/>
      <c r="D1822" s="163"/>
      <c r="E1822" s="473"/>
      <c r="F1822" s="458"/>
      <c r="G1822" s="507"/>
    </row>
    <row r="1823" spans="1:8" ht="19.899999999999999" customHeight="1">
      <c r="A1823" s="505"/>
      <c r="B1823" s="163"/>
      <c r="C1823" s="455" t="s">
        <v>1003</v>
      </c>
      <c r="D1823" s="458" t="s">
        <v>1000</v>
      </c>
      <c r="E1823" s="524">
        <f>SUMPRODUCT(D1812:D1821,E1812:E1821)</f>
        <v>0</v>
      </c>
      <c r="F1823" s="458" t="s">
        <v>1004</v>
      </c>
      <c r="G1823" s="525">
        <f>SUM(G1812:G1821)</f>
        <v>0</v>
      </c>
    </row>
    <row r="1824" spans="1:8" ht="19.899999999999999" customHeight="1">
      <c r="A1824" s="505"/>
      <c r="B1824" s="466"/>
      <c r="C1824" s="474"/>
      <c r="D1824" s="473"/>
      <c r="E1824" s="460"/>
      <c r="F1824" s="458"/>
      <c r="G1824" s="511"/>
    </row>
    <row r="1825" spans="1:7" ht="19.899999999999999" customHeight="1">
      <c r="A1825" s="512"/>
      <c r="B1825" s="466"/>
      <c r="C1825" s="458" t="s">
        <v>1005</v>
      </c>
      <c r="D1825" s="475"/>
      <c r="E1825" s="476" t="str">
        <f ca="1">G1807&amp;"/día"</f>
        <v>m3/día</v>
      </c>
      <c r="F1825" s="452"/>
      <c r="G1825" s="507"/>
    </row>
    <row r="1826" spans="1:7" ht="19.899999999999999" customHeight="1">
      <c r="A1826" s="505"/>
      <c r="B1826" s="466"/>
      <c r="C1826" s="163"/>
      <c r="D1826" s="459"/>
      <c r="E1826" s="460"/>
      <c r="F1826" s="458"/>
      <c r="G1826" s="507"/>
    </row>
    <row r="1827" spans="1:7" ht="19.899999999999999" customHeight="1">
      <c r="A1827" s="677" t="s">
        <v>575</v>
      </c>
      <c r="B1827" s="678"/>
      <c r="C1827" s="679" t="s">
        <v>0</v>
      </c>
      <c r="D1827" s="691" t="s">
        <v>1864</v>
      </c>
      <c r="E1827" s="691" t="s">
        <v>1863</v>
      </c>
      <c r="F1827" s="683" t="s">
        <v>1006</v>
      </c>
      <c r="G1827" s="685" t="s">
        <v>25</v>
      </c>
    </row>
    <row r="1828" spans="1:7" ht="19.899999999999999" customHeight="1">
      <c r="A1828" s="477" t="s">
        <v>576</v>
      </c>
      <c r="B1828" s="477" t="s">
        <v>577</v>
      </c>
      <c r="C1828" s="680"/>
      <c r="D1828" s="692"/>
      <c r="E1828" s="682"/>
      <c r="F1828" s="684"/>
      <c r="G1828" s="686"/>
    </row>
    <row r="1829" spans="1:7" ht="19.899999999999999" customHeight="1">
      <c r="A1829" s="513"/>
      <c r="B1829" s="163"/>
      <c r="C1829" s="455" t="s">
        <v>1007</v>
      </c>
      <c r="D1829" s="460"/>
      <c r="E1829" s="460"/>
      <c r="F1829" s="163"/>
      <c r="G1829" s="514"/>
    </row>
    <row r="1830" spans="1:7" ht="19.899999999999999" customHeight="1">
      <c r="A1830" s="515">
        <f t="shared" ref="A1830:A1837" si="633">IFERROR(VLOOKUP(C1830,T_Insumos,4,FALSE),0)</f>
        <v>0</v>
      </c>
      <c r="B1830" s="478">
        <f t="shared" ref="B1830:B1837" si="634">IFERROR(VLOOKUP(C1830,T_Insumos,5,FALSE),0)</f>
        <v>0</v>
      </c>
      <c r="C1830" s="469"/>
      <c r="D1830" s="479">
        <f t="shared" ref="D1830:D1837" si="635">IFERROR(VLOOKUP(C1830,T_Insumos,3,FALSE),0)</f>
        <v>0</v>
      </c>
      <c r="E1830" s="472">
        <f>D1830*$G$1823</f>
        <v>0</v>
      </c>
      <c r="F1830" s="475">
        <f>IF(C1830="",0,IFERROR(VLOOKUP(COUNTIF($A$1:A1830,"ANALISIS DE PRECIOS"),T_Rendimiento_Equipo,5,FALSE),0))</f>
        <v>0</v>
      </c>
      <c r="G1830" s="472">
        <f>IFERROR(ROUND(E1830/F1830,2),0)</f>
        <v>0</v>
      </c>
    </row>
    <row r="1831" spans="1:7" ht="19.899999999999999" customHeight="1">
      <c r="A1831" s="515">
        <f t="shared" si="633"/>
        <v>0</v>
      </c>
      <c r="B1831" s="478">
        <f t="shared" si="634"/>
        <v>0</v>
      </c>
      <c r="C1831" s="469"/>
      <c r="D1831" s="479">
        <f t="shared" si="635"/>
        <v>0</v>
      </c>
      <c r="E1831" s="472">
        <f t="shared" ref="E1831:E1838" si="636">D1831*$G$1823</f>
        <v>0</v>
      </c>
      <c r="F1831" s="475">
        <f>IF(C1831="",0,IFERROR(VLOOKUP(COUNTIF($A$1:A1831,"ANALISIS DE PRECIOS"),T_Rendimiento_Equipo,5,FALSE),0))</f>
        <v>0</v>
      </c>
      <c r="G1831" s="472">
        <f t="shared" ref="G1831:G1838" si="637">IFERROR(ROUND(E1831/F1831,2),0)</f>
        <v>0</v>
      </c>
    </row>
    <row r="1832" spans="1:7" ht="19.899999999999999" customHeight="1">
      <c r="A1832" s="515">
        <f t="shared" si="633"/>
        <v>0</v>
      </c>
      <c r="B1832" s="478">
        <f t="shared" si="634"/>
        <v>0</v>
      </c>
      <c r="C1832" s="480"/>
      <c r="D1832" s="479">
        <f t="shared" si="635"/>
        <v>0</v>
      </c>
      <c r="E1832" s="472">
        <f t="shared" si="636"/>
        <v>0</v>
      </c>
      <c r="F1832" s="475">
        <f>IF(C1832="",0,IFERROR(VLOOKUP(COUNTIF($A$1:A1832,"ANALISIS DE PRECIOS"),T_Rendimiento_Equipo,5,FALSE),0))</f>
        <v>0</v>
      </c>
      <c r="G1832" s="472">
        <f t="shared" si="637"/>
        <v>0</v>
      </c>
    </row>
    <row r="1833" spans="1:7" ht="19.899999999999999" customHeight="1">
      <c r="A1833" s="515">
        <f t="shared" si="633"/>
        <v>0</v>
      </c>
      <c r="B1833" s="478">
        <f t="shared" si="634"/>
        <v>0</v>
      </c>
      <c r="C1833" s="480"/>
      <c r="D1833" s="479">
        <f t="shared" si="635"/>
        <v>0</v>
      </c>
      <c r="E1833" s="472">
        <f t="shared" si="636"/>
        <v>0</v>
      </c>
      <c r="F1833" s="475">
        <f>IF(C1833="",0,IFERROR(VLOOKUP(COUNTIF($A$1:A1833,"ANALISIS DE PRECIOS"),T_Rendimiento_Equipo,5,FALSE),0))</f>
        <v>0</v>
      </c>
      <c r="G1833" s="472">
        <f t="shared" si="637"/>
        <v>0</v>
      </c>
    </row>
    <row r="1834" spans="1:7" ht="19.899999999999999" customHeight="1">
      <c r="A1834" s="515">
        <f t="shared" si="633"/>
        <v>0</v>
      </c>
      <c r="B1834" s="478">
        <f t="shared" si="634"/>
        <v>0</v>
      </c>
      <c r="C1834" s="480"/>
      <c r="D1834" s="479">
        <f t="shared" si="635"/>
        <v>0</v>
      </c>
      <c r="E1834" s="472">
        <f t="shared" si="636"/>
        <v>0</v>
      </c>
      <c r="F1834" s="475">
        <f>IF(C1834="",0,IFERROR(VLOOKUP(COUNTIF($A$1:A1834,"ANALISIS DE PRECIOS"),T_Rendimiento_Equipo,5,FALSE),0))</f>
        <v>0</v>
      </c>
      <c r="G1834" s="472">
        <f t="shared" si="637"/>
        <v>0</v>
      </c>
    </row>
    <row r="1835" spans="1:7" ht="19.899999999999999" customHeight="1">
      <c r="A1835" s="515">
        <f t="shared" si="633"/>
        <v>0</v>
      </c>
      <c r="B1835" s="478">
        <f t="shared" si="634"/>
        <v>0</v>
      </c>
      <c r="C1835" s="480"/>
      <c r="D1835" s="479">
        <f t="shared" si="635"/>
        <v>0</v>
      </c>
      <c r="E1835" s="472">
        <f t="shared" si="636"/>
        <v>0</v>
      </c>
      <c r="F1835" s="475">
        <f>IF(C1835="",0,IFERROR(VLOOKUP(COUNTIF($A$1:A1835,"ANALISIS DE PRECIOS"),T_Rendimiento_Equipo,5,FALSE),0))</f>
        <v>0</v>
      </c>
      <c r="G1835" s="472">
        <f t="shared" si="637"/>
        <v>0</v>
      </c>
    </row>
    <row r="1836" spans="1:7" ht="19.899999999999999" customHeight="1">
      <c r="A1836" s="515">
        <f t="shared" si="633"/>
        <v>0</v>
      </c>
      <c r="B1836" s="478">
        <f t="shared" si="634"/>
        <v>0</v>
      </c>
      <c r="C1836" s="480"/>
      <c r="D1836" s="479">
        <f t="shared" si="635"/>
        <v>0</v>
      </c>
      <c r="E1836" s="472">
        <f t="shared" si="636"/>
        <v>0</v>
      </c>
      <c r="F1836" s="475">
        <f>IF(C1836="",0,IFERROR(VLOOKUP(COUNTIF($A$1:A1836,"ANALISIS DE PRECIOS"),T_Rendimiento_Equipo,5,FALSE),0))</f>
        <v>0</v>
      </c>
      <c r="G1836" s="472">
        <f t="shared" si="637"/>
        <v>0</v>
      </c>
    </row>
    <row r="1837" spans="1:7" ht="19.899999999999999" customHeight="1">
      <c r="A1837" s="515">
        <f t="shared" si="633"/>
        <v>0</v>
      </c>
      <c r="B1837" s="478">
        <f t="shared" si="634"/>
        <v>0</v>
      </c>
      <c r="C1837" s="480"/>
      <c r="D1837" s="479">
        <f t="shared" si="635"/>
        <v>0</v>
      </c>
      <c r="E1837" s="472">
        <f t="shared" si="636"/>
        <v>0</v>
      </c>
      <c r="F1837" s="475">
        <f>IF(C1837="",0,IFERROR(VLOOKUP(COUNTIF($A$1:A1837,"ANALISIS DE PRECIOS"),T_Rendimiento_Equipo,5,FALSE),0))</f>
        <v>0</v>
      </c>
      <c r="G1837" s="472">
        <f t="shared" si="637"/>
        <v>0</v>
      </c>
    </row>
    <row r="1838" spans="1:7" ht="19.899999999999999" customHeight="1">
      <c r="A1838" s="515">
        <f t="shared" ref="A1838" si="638">IFERROR(VLOOKUP(C1838,T_Insumos,4,FALSE),0)</f>
        <v>0</v>
      </c>
      <c r="B1838" s="478">
        <f t="shared" ref="B1838" si="639">IFERROR(VLOOKUP(C1838,T_Insumos,5,FALSE),0)</f>
        <v>0</v>
      </c>
      <c r="C1838" s="469"/>
      <c r="D1838" s="479">
        <f t="shared" ref="D1838" si="640">IFERROR(VLOOKUP(C1838,T_Insumos,3,FALSE),0)</f>
        <v>0</v>
      </c>
      <c r="E1838" s="472">
        <f t="shared" si="636"/>
        <v>0</v>
      </c>
      <c r="F1838" s="475">
        <f>IF(C1838="",0,IFERROR(VLOOKUP(COUNTIF($A$1:A1838,"ANALISIS DE PRECIOS"),T_Rendimiento_Equipo,5,FALSE),0))</f>
        <v>0</v>
      </c>
      <c r="G1838" s="472">
        <f t="shared" si="637"/>
        <v>0</v>
      </c>
    </row>
    <row r="1839" spans="1:7" ht="19.899999999999999" customHeight="1">
      <c r="A1839" s="516"/>
      <c r="B1839" s="459"/>
      <c r="C1839" s="163"/>
      <c r="D1839" s="459"/>
      <c r="E1839" s="460"/>
      <c r="F1839" s="481" t="s">
        <v>26</v>
      </c>
      <c r="G1839" s="517">
        <f>SUBTOTAL(9,G1830:G1838)</f>
        <v>0</v>
      </c>
    </row>
    <row r="1840" spans="1:7" ht="19.899999999999999" customHeight="1">
      <c r="A1840" s="513"/>
      <c r="B1840" s="163"/>
      <c r="C1840" s="455" t="s">
        <v>712</v>
      </c>
      <c r="D1840" s="459"/>
      <c r="E1840" s="460"/>
      <c r="F1840" s="461"/>
      <c r="G1840" s="514"/>
    </row>
    <row r="1841" spans="1:7" ht="19.899999999999999" customHeight="1">
      <c r="A1841" s="677" t="s">
        <v>575</v>
      </c>
      <c r="B1841" s="678"/>
      <c r="C1841" s="679" t="s">
        <v>0</v>
      </c>
      <c r="D1841" s="681" t="s">
        <v>23</v>
      </c>
      <c r="E1841" s="681" t="s">
        <v>1830</v>
      </c>
      <c r="F1841" s="683" t="s">
        <v>1006</v>
      </c>
      <c r="G1841" s="685" t="s">
        <v>25</v>
      </c>
    </row>
    <row r="1842" spans="1:7" ht="19.899999999999999" customHeight="1">
      <c r="A1842" s="477" t="s">
        <v>576</v>
      </c>
      <c r="B1842" s="477" t="s">
        <v>577</v>
      </c>
      <c r="C1842" s="680"/>
      <c r="D1842" s="682"/>
      <c r="E1842" s="682"/>
      <c r="F1842" s="684"/>
      <c r="G1842" s="686"/>
    </row>
    <row r="1843" spans="1:7" ht="19.899999999999999" customHeight="1">
      <c r="A1843" s="515">
        <f t="shared" ref="A1843:A1848" si="641">IFERROR(VLOOKUP(C1843,T_Insumos,4,FALSE),0)</f>
        <v>0</v>
      </c>
      <c r="B1843" s="478">
        <f t="shared" ref="B1843:B1848" si="642">IFERROR(VLOOKUP(C1843,T_Insumos,5,FALSE),0)</f>
        <v>0</v>
      </c>
      <c r="C1843" s="482"/>
      <c r="D1843" s="475"/>
      <c r="E1843" s="472">
        <f t="shared" ref="E1843:E1848" si="643">IFERROR(VLOOKUP(C1843,T_Insumos,3,FALSE),0)</f>
        <v>0</v>
      </c>
      <c r="F1843" s="475">
        <f>+$D$1825</f>
        <v>0</v>
      </c>
      <c r="G1843" s="472">
        <f>IFERROR(ROUND(D1843*E1843/F1843,2),0)</f>
        <v>0</v>
      </c>
    </row>
    <row r="1844" spans="1:7" ht="19.899999999999999" customHeight="1">
      <c r="A1844" s="515">
        <f t="shared" si="641"/>
        <v>0</v>
      </c>
      <c r="B1844" s="478">
        <f t="shared" si="642"/>
        <v>0</v>
      </c>
      <c r="C1844" s="469"/>
      <c r="D1844" s="475"/>
      <c r="E1844" s="472">
        <f t="shared" si="643"/>
        <v>0</v>
      </c>
      <c r="F1844" s="475">
        <f t="shared" ref="F1844:F1846" si="644">+$D$1825</f>
        <v>0</v>
      </c>
      <c r="G1844" s="472">
        <f t="shared" ref="G1844:G1849" si="645">IFERROR(ROUND(D1844*E1844/F1844,2),0)</f>
        <v>0</v>
      </c>
    </row>
    <row r="1845" spans="1:7" ht="19.899999999999999" customHeight="1">
      <c r="A1845" s="515">
        <f t="shared" si="641"/>
        <v>0</v>
      </c>
      <c r="B1845" s="478">
        <f t="shared" si="642"/>
        <v>0</v>
      </c>
      <c r="C1845" s="469"/>
      <c r="D1845" s="475"/>
      <c r="E1845" s="472">
        <f t="shared" si="643"/>
        <v>0</v>
      </c>
      <c r="F1845" s="475">
        <f t="shared" si="644"/>
        <v>0</v>
      </c>
      <c r="G1845" s="472">
        <f t="shared" si="645"/>
        <v>0</v>
      </c>
    </row>
    <row r="1846" spans="1:7" ht="19.899999999999999" customHeight="1">
      <c r="A1846" s="515">
        <f t="shared" si="641"/>
        <v>0</v>
      </c>
      <c r="B1846" s="478">
        <f t="shared" si="642"/>
        <v>0</v>
      </c>
      <c r="C1846" s="469"/>
      <c r="D1846" s="475"/>
      <c r="E1846" s="472">
        <f t="shared" si="643"/>
        <v>0</v>
      </c>
      <c r="F1846" s="475">
        <f t="shared" si="644"/>
        <v>0</v>
      </c>
      <c r="G1846" s="472">
        <f t="shared" si="645"/>
        <v>0</v>
      </c>
    </row>
    <row r="1847" spans="1:7" ht="19.899999999999999" customHeight="1">
      <c r="A1847" s="515">
        <f t="shared" si="641"/>
        <v>0</v>
      </c>
      <c r="B1847" s="478">
        <f t="shared" si="642"/>
        <v>0</v>
      </c>
      <c r="C1847" s="469"/>
      <c r="D1847" s="475"/>
      <c r="E1847" s="472">
        <f t="shared" si="643"/>
        <v>0</v>
      </c>
      <c r="F1847" s="475">
        <f>IF(C1847="",0,IFERROR(VLOOKUP(COUNTIF($A$1:A1847,"ANALISIS DE PRECIOS"),T_Rendimiento_Equipo,5,FALSE),0))</f>
        <v>0</v>
      </c>
      <c r="G1847" s="472">
        <f t="shared" si="645"/>
        <v>0</v>
      </c>
    </row>
    <row r="1848" spans="1:7" ht="19.899999999999999" customHeight="1">
      <c r="A1848" s="515">
        <f t="shared" si="641"/>
        <v>0</v>
      </c>
      <c r="B1848" s="478">
        <f t="shared" si="642"/>
        <v>0</v>
      </c>
      <c r="C1848" s="469"/>
      <c r="D1848" s="483"/>
      <c r="E1848" s="472">
        <f t="shared" si="643"/>
        <v>0</v>
      </c>
      <c r="F1848" s="475">
        <f>+$D$1825</f>
        <v>0</v>
      </c>
      <c r="G1848" s="472">
        <f t="shared" si="645"/>
        <v>0</v>
      </c>
    </row>
    <row r="1849" spans="1:7" ht="19.899999999999999" customHeight="1">
      <c r="A1849" s="515">
        <f t="shared" ref="A1849" si="646">IFERROR(VLOOKUP(C1849,T_Insumos,4,FALSE),0)</f>
        <v>0</v>
      </c>
      <c r="B1849" s="478">
        <f t="shared" ref="B1849" si="647">IFERROR(VLOOKUP(C1849,T_Insumos,5,FALSE),0)</f>
        <v>0</v>
      </c>
      <c r="C1849" s="478"/>
      <c r="D1849" s="484"/>
      <c r="E1849" s="472">
        <f t="shared" ref="E1849" si="648">IFERROR(VLOOKUP(C1849,T_Insumos,3,FALSE),0)</f>
        <v>0</v>
      </c>
      <c r="F1849" s="475">
        <f>IF(C1849="",0,IFERROR(VLOOKUP(COUNTIF($A$1:A1849,"ANALISIS DE PRECIOS"),T_Rendimiento_Equipo,5,FALSE),0))</f>
        <v>0</v>
      </c>
      <c r="G1849" s="472">
        <f t="shared" si="645"/>
        <v>0</v>
      </c>
    </row>
    <row r="1850" spans="1:7" ht="19.899999999999999" customHeight="1">
      <c r="A1850" s="516"/>
      <c r="B1850" s="459"/>
      <c r="C1850" s="163"/>
      <c r="D1850" s="459"/>
      <c r="E1850" s="460">
        <f>SUMPRODUCT(D1843:D1848,E1843:E1848)</f>
        <v>0</v>
      </c>
      <c r="F1850" s="481" t="s">
        <v>27</v>
      </c>
      <c r="G1850" s="518">
        <f>SUBTOTAL(9,G1843:G1849)</f>
        <v>0</v>
      </c>
    </row>
    <row r="1851" spans="1:7" ht="19.899999999999999" customHeight="1">
      <c r="A1851" s="513"/>
      <c r="B1851" s="163"/>
      <c r="C1851" s="455" t="s">
        <v>1013</v>
      </c>
      <c r="D1851" s="459"/>
      <c r="E1851" s="460"/>
      <c r="F1851" s="461"/>
      <c r="G1851" s="514"/>
    </row>
    <row r="1852" spans="1:7" ht="19.899999999999999" customHeight="1">
      <c r="A1852" s="677" t="s">
        <v>575</v>
      </c>
      <c r="B1852" s="678"/>
      <c r="C1852" s="679" t="s">
        <v>0</v>
      </c>
      <c r="D1852" s="679" t="s">
        <v>1865</v>
      </c>
      <c r="E1852" s="681" t="s">
        <v>23</v>
      </c>
      <c r="F1852" s="683" t="s">
        <v>24</v>
      </c>
      <c r="G1852" s="685" t="s">
        <v>25</v>
      </c>
    </row>
    <row r="1853" spans="1:7" ht="19.899999999999999" customHeight="1">
      <c r="A1853" s="477" t="s">
        <v>576</v>
      </c>
      <c r="B1853" s="477" t="s">
        <v>577</v>
      </c>
      <c r="C1853" s="680"/>
      <c r="D1853" s="680"/>
      <c r="E1853" s="682"/>
      <c r="F1853" s="684"/>
      <c r="G1853" s="686"/>
    </row>
    <row r="1854" spans="1:7" ht="19.899999999999999" customHeight="1">
      <c r="A1854" s="515">
        <f t="shared" ref="A1854:A1874" si="649">IFERROR(VLOOKUP(C1854,T_Insumos,4,FALSE),0)</f>
        <v>0</v>
      </c>
      <c r="B1854" s="478">
        <f t="shared" ref="B1854:B1874" si="650">IFERROR(VLOOKUP(C1854,T_Insumos,5,FALSE),0)</f>
        <v>0</v>
      </c>
      <c r="C1854" s="478"/>
      <c r="D1854" s="526">
        <f t="shared" ref="D1854:D1874" si="651">IFERROR(VLOOKUP(C1854,T_Insumos,2,FALSE),0)</f>
        <v>0</v>
      </c>
      <c r="E1854" s="470"/>
      <c r="F1854" s="472">
        <f t="shared" ref="F1854:F1874" si="652">IFERROR(VLOOKUP(C1854,T_Insumos,3,FALSE),0)</f>
        <v>0</v>
      </c>
      <c r="G1854" s="472">
        <f>ROUND(E1854*F1854,2)</f>
        <v>0</v>
      </c>
    </row>
    <row r="1855" spans="1:7" s="485" customFormat="1" ht="19.899999999999999" customHeight="1">
      <c r="A1855" s="515">
        <f t="shared" si="649"/>
        <v>0</v>
      </c>
      <c r="B1855" s="478">
        <f t="shared" si="650"/>
        <v>0</v>
      </c>
      <c r="C1855" s="478"/>
      <c r="D1855" s="526">
        <f t="shared" si="651"/>
        <v>0</v>
      </c>
      <c r="E1855" s="470"/>
      <c r="F1855" s="472">
        <f t="shared" si="652"/>
        <v>0</v>
      </c>
      <c r="G1855" s="472">
        <f t="shared" ref="G1855:G1864" si="653">ROUND(E1855*F1855,2)</f>
        <v>0</v>
      </c>
    </row>
    <row r="1856" spans="1:7" ht="19.899999999999999" customHeight="1">
      <c r="A1856" s="515">
        <f t="shared" si="649"/>
        <v>0</v>
      </c>
      <c r="B1856" s="478">
        <f t="shared" si="650"/>
        <v>0</v>
      </c>
      <c r="C1856" s="478"/>
      <c r="D1856" s="526">
        <f t="shared" si="651"/>
        <v>0</v>
      </c>
      <c r="E1856" s="470"/>
      <c r="F1856" s="472">
        <f t="shared" si="652"/>
        <v>0</v>
      </c>
      <c r="G1856" s="472">
        <f t="shared" si="653"/>
        <v>0</v>
      </c>
    </row>
    <row r="1857" spans="1:7" ht="19.899999999999999" customHeight="1">
      <c r="A1857" s="515">
        <f t="shared" si="649"/>
        <v>0</v>
      </c>
      <c r="B1857" s="478">
        <f t="shared" si="650"/>
        <v>0</v>
      </c>
      <c r="C1857" s="478"/>
      <c r="D1857" s="526">
        <f t="shared" si="651"/>
        <v>0</v>
      </c>
      <c r="E1857" s="470"/>
      <c r="F1857" s="472">
        <f t="shared" si="652"/>
        <v>0</v>
      </c>
      <c r="G1857" s="472">
        <f t="shared" si="653"/>
        <v>0</v>
      </c>
    </row>
    <row r="1858" spans="1:7" ht="19.899999999999999" customHeight="1">
      <c r="A1858" s="515">
        <f t="shared" si="649"/>
        <v>0</v>
      </c>
      <c r="B1858" s="478">
        <f t="shared" si="650"/>
        <v>0</v>
      </c>
      <c r="C1858" s="478"/>
      <c r="D1858" s="526">
        <f t="shared" si="651"/>
        <v>0</v>
      </c>
      <c r="E1858" s="470"/>
      <c r="F1858" s="472">
        <f t="shared" si="652"/>
        <v>0</v>
      </c>
      <c r="G1858" s="472">
        <f t="shared" si="653"/>
        <v>0</v>
      </c>
    </row>
    <row r="1859" spans="1:7" ht="19.899999999999999" customHeight="1">
      <c r="A1859" s="515">
        <f t="shared" si="649"/>
        <v>0</v>
      </c>
      <c r="B1859" s="478">
        <f t="shared" si="650"/>
        <v>0</v>
      </c>
      <c r="C1859" s="478"/>
      <c r="D1859" s="526">
        <f t="shared" si="651"/>
        <v>0</v>
      </c>
      <c r="E1859" s="470"/>
      <c r="F1859" s="472">
        <f t="shared" si="652"/>
        <v>0</v>
      </c>
      <c r="G1859" s="472">
        <f t="shared" si="653"/>
        <v>0</v>
      </c>
    </row>
    <row r="1860" spans="1:7" ht="19.899999999999999" customHeight="1">
      <c r="A1860" s="515">
        <f t="shared" si="649"/>
        <v>0</v>
      </c>
      <c r="B1860" s="478">
        <f t="shared" si="650"/>
        <v>0</v>
      </c>
      <c r="C1860" s="478"/>
      <c r="D1860" s="526">
        <f t="shared" si="651"/>
        <v>0</v>
      </c>
      <c r="E1860" s="470"/>
      <c r="F1860" s="472">
        <f t="shared" si="652"/>
        <v>0</v>
      </c>
      <c r="G1860" s="472">
        <f t="shared" si="653"/>
        <v>0</v>
      </c>
    </row>
    <row r="1861" spans="1:7" ht="19.899999999999999" customHeight="1">
      <c r="A1861" s="515">
        <f t="shared" si="649"/>
        <v>0</v>
      </c>
      <c r="B1861" s="478">
        <f t="shared" si="650"/>
        <v>0</v>
      </c>
      <c r="C1861" s="478"/>
      <c r="D1861" s="526">
        <f t="shared" si="651"/>
        <v>0</v>
      </c>
      <c r="E1861" s="470"/>
      <c r="F1861" s="472">
        <f t="shared" si="652"/>
        <v>0</v>
      </c>
      <c r="G1861" s="472">
        <f t="shared" si="653"/>
        <v>0</v>
      </c>
    </row>
    <row r="1862" spans="1:7" ht="19.899999999999999" customHeight="1">
      <c r="A1862" s="515">
        <f t="shared" si="649"/>
        <v>0</v>
      </c>
      <c r="B1862" s="478">
        <f t="shared" si="650"/>
        <v>0</v>
      </c>
      <c r="C1862" s="478"/>
      <c r="D1862" s="526">
        <f t="shared" si="651"/>
        <v>0</v>
      </c>
      <c r="E1862" s="470"/>
      <c r="F1862" s="472">
        <f t="shared" si="652"/>
        <v>0</v>
      </c>
      <c r="G1862" s="472">
        <f t="shared" si="653"/>
        <v>0</v>
      </c>
    </row>
    <row r="1863" spans="1:7" ht="19.899999999999999" customHeight="1">
      <c r="A1863" s="515">
        <f t="shared" si="649"/>
        <v>0</v>
      </c>
      <c r="B1863" s="478">
        <f t="shared" si="650"/>
        <v>0</v>
      </c>
      <c r="C1863" s="478"/>
      <c r="D1863" s="526">
        <f t="shared" si="651"/>
        <v>0</v>
      </c>
      <c r="E1863" s="470"/>
      <c r="F1863" s="472">
        <f t="shared" si="652"/>
        <v>0</v>
      </c>
      <c r="G1863" s="472">
        <f t="shared" si="653"/>
        <v>0</v>
      </c>
    </row>
    <row r="1864" spans="1:7" ht="19.899999999999999" customHeight="1">
      <c r="A1864" s="515">
        <f t="shared" si="649"/>
        <v>0</v>
      </c>
      <c r="B1864" s="478">
        <f t="shared" si="650"/>
        <v>0</v>
      </c>
      <c r="C1864" s="478"/>
      <c r="D1864" s="526">
        <f t="shared" si="651"/>
        <v>0</v>
      </c>
      <c r="E1864" s="470"/>
      <c r="F1864" s="472">
        <f t="shared" si="652"/>
        <v>0</v>
      </c>
      <c r="G1864" s="472">
        <f t="shared" si="653"/>
        <v>0</v>
      </c>
    </row>
    <row r="1865" spans="1:7" ht="19.899999999999999" customHeight="1">
      <c r="A1865" s="515">
        <f t="shared" si="649"/>
        <v>0</v>
      </c>
      <c r="B1865" s="478">
        <f t="shared" si="650"/>
        <v>0</v>
      </c>
      <c r="C1865" s="478"/>
      <c r="D1865" s="526">
        <f t="shared" si="651"/>
        <v>0</v>
      </c>
      <c r="E1865" s="470"/>
      <c r="F1865" s="472">
        <f t="shared" si="652"/>
        <v>0</v>
      </c>
      <c r="G1865" s="472">
        <f>ROUND(E1865*F1865,2)</f>
        <v>0</v>
      </c>
    </row>
    <row r="1866" spans="1:7" s="485" customFormat="1" ht="19.899999999999999" customHeight="1">
      <c r="A1866" s="515">
        <f t="shared" si="649"/>
        <v>0</v>
      </c>
      <c r="B1866" s="478">
        <f t="shared" si="650"/>
        <v>0</v>
      </c>
      <c r="C1866" s="478"/>
      <c r="D1866" s="526">
        <f t="shared" si="651"/>
        <v>0</v>
      </c>
      <c r="E1866" s="470"/>
      <c r="F1866" s="472">
        <f t="shared" si="652"/>
        <v>0</v>
      </c>
      <c r="G1866" s="472">
        <f t="shared" ref="G1866:G1875" si="654">ROUND(E1866*F1866,2)</f>
        <v>0</v>
      </c>
    </row>
    <row r="1867" spans="1:7" ht="19.899999999999999" customHeight="1">
      <c r="A1867" s="515">
        <f t="shared" si="649"/>
        <v>0</v>
      </c>
      <c r="B1867" s="478">
        <f t="shared" si="650"/>
        <v>0</v>
      </c>
      <c r="C1867" s="478"/>
      <c r="D1867" s="526">
        <f t="shared" si="651"/>
        <v>0</v>
      </c>
      <c r="E1867" s="470"/>
      <c r="F1867" s="472">
        <f t="shared" si="652"/>
        <v>0</v>
      </c>
      <c r="G1867" s="472">
        <f t="shared" si="654"/>
        <v>0</v>
      </c>
    </row>
    <row r="1868" spans="1:7" ht="19.899999999999999" customHeight="1">
      <c r="A1868" s="515">
        <f t="shared" si="649"/>
        <v>0</v>
      </c>
      <c r="B1868" s="478">
        <f t="shared" si="650"/>
        <v>0</v>
      </c>
      <c r="C1868" s="478"/>
      <c r="D1868" s="526">
        <f t="shared" si="651"/>
        <v>0</v>
      </c>
      <c r="E1868" s="470"/>
      <c r="F1868" s="472">
        <f t="shared" si="652"/>
        <v>0</v>
      </c>
      <c r="G1868" s="472">
        <f t="shared" si="654"/>
        <v>0</v>
      </c>
    </row>
    <row r="1869" spans="1:7" ht="19.899999999999999" customHeight="1">
      <c r="A1869" s="515">
        <f t="shared" si="649"/>
        <v>0</v>
      </c>
      <c r="B1869" s="478">
        <f t="shared" si="650"/>
        <v>0</v>
      </c>
      <c r="C1869" s="478"/>
      <c r="D1869" s="526">
        <f t="shared" si="651"/>
        <v>0</v>
      </c>
      <c r="E1869" s="470"/>
      <c r="F1869" s="472">
        <f t="shared" si="652"/>
        <v>0</v>
      </c>
      <c r="G1869" s="472">
        <f t="shared" si="654"/>
        <v>0</v>
      </c>
    </row>
    <row r="1870" spans="1:7" ht="19.899999999999999" customHeight="1">
      <c r="A1870" s="515">
        <f t="shared" si="649"/>
        <v>0</v>
      </c>
      <c r="B1870" s="478">
        <f t="shared" si="650"/>
        <v>0</v>
      </c>
      <c r="C1870" s="478"/>
      <c r="D1870" s="526">
        <f t="shared" si="651"/>
        <v>0</v>
      </c>
      <c r="E1870" s="470"/>
      <c r="F1870" s="472">
        <f t="shared" si="652"/>
        <v>0</v>
      </c>
      <c r="G1870" s="472">
        <f t="shared" si="654"/>
        <v>0</v>
      </c>
    </row>
    <row r="1871" spans="1:7" ht="19.899999999999999" customHeight="1">
      <c r="A1871" s="515">
        <f t="shared" si="649"/>
        <v>0</v>
      </c>
      <c r="B1871" s="478">
        <f t="shared" si="650"/>
        <v>0</v>
      </c>
      <c r="C1871" s="478"/>
      <c r="D1871" s="526">
        <f t="shared" si="651"/>
        <v>0</v>
      </c>
      <c r="E1871" s="470"/>
      <c r="F1871" s="472">
        <f t="shared" si="652"/>
        <v>0</v>
      </c>
      <c r="G1871" s="472">
        <f t="shared" si="654"/>
        <v>0</v>
      </c>
    </row>
    <row r="1872" spans="1:7" ht="19.899999999999999" customHeight="1">
      <c r="A1872" s="515">
        <f t="shared" si="649"/>
        <v>0</v>
      </c>
      <c r="B1872" s="478">
        <f t="shared" si="650"/>
        <v>0</v>
      </c>
      <c r="C1872" s="478"/>
      <c r="D1872" s="526">
        <f t="shared" si="651"/>
        <v>0</v>
      </c>
      <c r="E1872" s="470"/>
      <c r="F1872" s="472">
        <f t="shared" si="652"/>
        <v>0</v>
      </c>
      <c r="G1872" s="472">
        <f t="shared" si="654"/>
        <v>0</v>
      </c>
    </row>
    <row r="1873" spans="1:8" ht="19.899999999999999" customHeight="1">
      <c r="A1873" s="515">
        <f t="shared" si="649"/>
        <v>0</v>
      </c>
      <c r="B1873" s="478">
        <f t="shared" si="650"/>
        <v>0</v>
      </c>
      <c r="C1873" s="478"/>
      <c r="D1873" s="526">
        <f t="shared" si="651"/>
        <v>0</v>
      </c>
      <c r="E1873" s="470"/>
      <c r="F1873" s="472">
        <f t="shared" si="652"/>
        <v>0</v>
      </c>
      <c r="G1873" s="472">
        <f t="shared" si="654"/>
        <v>0</v>
      </c>
    </row>
    <row r="1874" spans="1:8" ht="19.899999999999999" customHeight="1">
      <c r="A1874" s="515">
        <f t="shared" si="649"/>
        <v>0</v>
      </c>
      <c r="B1874" s="478">
        <f t="shared" si="650"/>
        <v>0</v>
      </c>
      <c r="C1874" s="478"/>
      <c r="D1874" s="526">
        <f t="shared" si="651"/>
        <v>0</v>
      </c>
      <c r="E1874" s="470"/>
      <c r="F1874" s="472">
        <f t="shared" si="652"/>
        <v>0</v>
      </c>
      <c r="G1874" s="472">
        <f t="shared" si="654"/>
        <v>0</v>
      </c>
    </row>
    <row r="1875" spans="1:8" ht="19.899999999999999" customHeight="1">
      <c r="A1875" s="515">
        <f t="shared" ref="A1875" si="655">IFERROR(VLOOKUP(C1875,T_Insumos,4,FALSE),0)</f>
        <v>0</v>
      </c>
      <c r="B1875" s="478">
        <f t="shared" ref="B1875" si="656">IFERROR(VLOOKUP(C1875,T_Insumos,5,FALSE),0)</f>
        <v>0</v>
      </c>
      <c r="C1875" s="478"/>
      <c r="D1875" s="526">
        <f t="shared" ref="D1875" si="657">IFERROR(VLOOKUP(C1875,T_Insumos,2,FALSE),0)</f>
        <v>0</v>
      </c>
      <c r="E1875" s="470"/>
      <c r="F1875" s="472">
        <f t="shared" ref="F1875" si="658">IFERROR(VLOOKUP(C1875,T_Insumos,3,FALSE),0)</f>
        <v>0</v>
      </c>
      <c r="G1875" s="472">
        <f t="shared" si="654"/>
        <v>0</v>
      </c>
    </row>
    <row r="1876" spans="1:8" ht="19.899999999999999" customHeight="1">
      <c r="A1876" s="513"/>
      <c r="B1876" s="163"/>
      <c r="C1876" s="163"/>
      <c r="D1876" s="459"/>
      <c r="E1876" s="460"/>
      <c r="F1876" s="481" t="s">
        <v>28</v>
      </c>
      <c r="G1876" s="518">
        <f>SUBTOTAL(9,G1854:G1875)</f>
        <v>0</v>
      </c>
    </row>
    <row r="1877" spans="1:8" ht="19.899999999999999" customHeight="1">
      <c r="A1877" s="513"/>
      <c r="B1877" s="163"/>
      <c r="C1877" s="455" t="s">
        <v>1014</v>
      </c>
      <c r="D1877" s="459"/>
      <c r="E1877" s="460"/>
      <c r="F1877" s="461"/>
      <c r="G1877" s="514"/>
    </row>
    <row r="1878" spans="1:8" ht="19.899999999999999" customHeight="1">
      <c r="A1878" s="677" t="s">
        <v>575</v>
      </c>
      <c r="B1878" s="678"/>
      <c r="C1878" s="679" t="s">
        <v>0</v>
      </c>
      <c r="D1878" s="679" t="s">
        <v>1865</v>
      </c>
      <c r="E1878" s="681" t="s">
        <v>23</v>
      </c>
      <c r="F1878" s="683" t="s">
        <v>24</v>
      </c>
      <c r="G1878" s="685" t="s">
        <v>25</v>
      </c>
    </row>
    <row r="1879" spans="1:8" ht="19.899999999999999" customHeight="1">
      <c r="A1879" s="477" t="s">
        <v>576</v>
      </c>
      <c r="B1879" s="477" t="s">
        <v>577</v>
      </c>
      <c r="C1879" s="680"/>
      <c r="D1879" s="680"/>
      <c r="E1879" s="682"/>
      <c r="F1879" s="684"/>
      <c r="G1879" s="686"/>
    </row>
    <row r="1880" spans="1:8" ht="19.899999999999999" customHeight="1">
      <c r="A1880" s="515">
        <f>IFERROR(VLOOKUP(C1880,T_Insumos,4,FALSE),0)</f>
        <v>0</v>
      </c>
      <c r="B1880" s="478">
        <f>IFERROR(VLOOKUP(C1880,T_Insumos,5,FALSE),0)</f>
        <v>0</v>
      </c>
      <c r="C1880" s="469"/>
      <c r="D1880" s="526">
        <f>IF(C1880=0,0,"$/tnkm")</f>
        <v>0</v>
      </c>
      <c r="E1880" s="470"/>
      <c r="F1880" s="472">
        <f>IFERROR(VLOOKUP(C1880,T_Insumos,3,FALSE),0)</f>
        <v>0</v>
      </c>
      <c r="G1880" s="472">
        <f>ROUND(E1880*F1880,2)</f>
        <v>0</v>
      </c>
    </row>
    <row r="1881" spans="1:8" ht="19.899999999999999" customHeight="1">
      <c r="A1881" s="515">
        <f>IFERROR(VLOOKUP(C1881,T_Insumos,4,FALSE),0)</f>
        <v>0</v>
      </c>
      <c r="B1881" s="478">
        <f>IFERROR(VLOOKUP(C1881,T_Insumos,5,FALSE),0)</f>
        <v>0</v>
      </c>
      <c r="C1881" s="469"/>
      <c r="D1881" s="526">
        <f>IF(C1881=0,0,"$/tnkm")</f>
        <v>0</v>
      </c>
      <c r="E1881" s="486"/>
      <c r="F1881" s="472">
        <f>IFERROR(VLOOKUP(C1881,T_Insumos,3,FALSE),0)</f>
        <v>0</v>
      </c>
      <c r="G1881" s="472">
        <f t="shared" ref="G1881" si="659">ROUND(E1881*F1881,2)</f>
        <v>0</v>
      </c>
    </row>
    <row r="1882" spans="1:8" ht="19.899999999999999" customHeight="1">
      <c r="A1882" s="513"/>
      <c r="B1882" s="163"/>
      <c r="C1882" s="163"/>
      <c r="D1882" s="459"/>
      <c r="E1882" s="460"/>
      <c r="F1882" s="481" t="s">
        <v>1015</v>
      </c>
      <c r="G1882" s="518">
        <f>SUBTOTAL(9,G1880:G1881)</f>
        <v>0</v>
      </c>
      <c r="H1882" s="60"/>
    </row>
    <row r="1883" spans="1:8" ht="19.899999999999999" customHeight="1">
      <c r="A1883" s="516"/>
      <c r="B1883" s="459"/>
      <c r="C1883" s="163"/>
      <c r="D1883" s="459"/>
      <c r="E1883" s="460"/>
      <c r="F1883" s="461"/>
      <c r="G1883" s="514"/>
      <c r="H1883" s="60"/>
    </row>
    <row r="1884" spans="1:8" ht="19.899999999999999" customHeight="1">
      <c r="A1884" s="574" t="str">
        <f>B1807</f>
        <v>5.2.3</v>
      </c>
      <c r="B1884" s="571" t="str">
        <f ca="1">C1807</f>
        <v>Demoliciones</v>
      </c>
      <c r="C1884" s="459"/>
      <c r="D1884" s="459" t="s">
        <v>1831</v>
      </c>
      <c r="E1884" s="572"/>
      <c r="F1884" s="573" t="str">
        <f ca="1">"$/"&amp;G1807</f>
        <v>$/m3</v>
      </c>
      <c r="G1884" s="523">
        <f>SUBTOTAL(9,G1830:G1883)</f>
        <v>0</v>
      </c>
      <c r="H1884" s="60"/>
    </row>
    <row r="1885" spans="1:8" ht="19.899999999999999" customHeight="1">
      <c r="A1885" s="519"/>
      <c r="B1885" s="520"/>
      <c r="C1885" s="521"/>
      <c r="D1885" s="521" t="s">
        <v>2041</v>
      </c>
      <c r="E1885" s="522"/>
      <c r="F1885" s="575" t="str">
        <f ca="1">"$/"&amp;G1807</f>
        <v>$/m3</v>
      </c>
      <c r="G1885" s="523">
        <f>ROUND(G1884*Coeficiente_Paso,2)</f>
        <v>0</v>
      </c>
      <c r="H1885" s="60"/>
    </row>
    <row r="1886" spans="1:8" ht="19.899999999999999" customHeight="1">
      <c r="A1886" s="163"/>
      <c r="B1886" s="163"/>
      <c r="C1886" s="163"/>
      <c r="D1886" s="163"/>
      <c r="E1886" s="163"/>
      <c r="F1886" s="163"/>
      <c r="G1886" s="163"/>
      <c r="H1886" s="60"/>
    </row>
    <row r="1887" spans="1:8" ht="19.899999999999999" customHeight="1">
      <c r="A1887" s="687" t="s">
        <v>30</v>
      </c>
      <c r="B1887" s="688"/>
      <c r="C1887" s="688"/>
      <c r="D1887" s="688"/>
      <c r="E1887" s="688"/>
      <c r="F1887" s="688"/>
      <c r="G1887" s="689"/>
    </row>
    <row r="1888" spans="1:8" ht="19.899999999999999" customHeight="1">
      <c r="A1888" s="502" t="s">
        <v>710</v>
      </c>
      <c r="B1888" s="453" t="str">
        <f>Comitente</f>
        <v>DEPARTAMENTO DE HIDRAULICA</v>
      </c>
      <c r="C1888" s="454"/>
      <c r="D1888" s="455"/>
      <c r="E1888" s="455"/>
      <c r="F1888" s="456"/>
      <c r="G1888" s="503"/>
    </row>
    <row r="1889" spans="1:7" ht="19.899999999999999" customHeight="1">
      <c r="A1889" s="502" t="s">
        <v>711</v>
      </c>
      <c r="B1889" s="453">
        <f>Contratista</f>
        <v>0</v>
      </c>
      <c r="C1889" s="457"/>
      <c r="D1889" s="457"/>
      <c r="E1889" s="457"/>
      <c r="F1889" s="453"/>
      <c r="G1889" s="504"/>
    </row>
    <row r="1890" spans="1:7" ht="19.899999999999999" customHeight="1">
      <c r="A1890" s="502" t="s">
        <v>20</v>
      </c>
      <c r="B1890" s="453" t="str">
        <f>Obra</f>
        <v>MEJORA DE LA RED DE RIEGO DEL VALLE DE JÁCHAL</v>
      </c>
      <c r="C1890" s="457"/>
      <c r="D1890" s="457"/>
      <c r="E1890" s="457"/>
      <c r="F1890" s="453" t="s">
        <v>31</v>
      </c>
      <c r="G1890" s="504" t="str">
        <f>Fecha_Base</f>
        <v>XX/07/2020</v>
      </c>
    </row>
    <row r="1891" spans="1:7" ht="19.899999999999999" customHeight="1">
      <c r="A1891" s="505" t="s">
        <v>709</v>
      </c>
      <c r="B1891" s="458" t="str">
        <f>Ubicación</f>
        <v>JACHAL</v>
      </c>
      <c r="C1891" s="458"/>
      <c r="D1891" s="459"/>
      <c r="E1891" s="460"/>
      <c r="F1891" s="461"/>
      <c r="G1891" s="506"/>
    </row>
    <row r="1892" spans="1:7" ht="19.899999999999999" customHeight="1">
      <c r="A1892" s="505" t="s">
        <v>32</v>
      </c>
      <c r="B1892" s="462">
        <f>IFERROR(VALUE(LEFT(B1893,FIND(".",B1893)-1)),"")</f>
        <v>5</v>
      </c>
      <c r="C1892" s="163" t="str">
        <f ca="1">IFERROR(VLOOKUP(B1892,T_Computo_Presupuesto,2,FALSE),0)</f>
        <v>CANAL MATRIZ</v>
      </c>
      <c r="D1892" s="163"/>
      <c r="E1892" s="460"/>
      <c r="F1892" s="461"/>
      <c r="G1892" s="506"/>
    </row>
    <row r="1893" spans="1:7" ht="19.899999999999999" customHeight="1">
      <c r="A1893" s="505" t="s">
        <v>21</v>
      </c>
      <c r="B1893" s="463" t="str">
        <f>IFERROR(VLOOKUP(COUNTIF($A$1:A1893,"ANALISIS DE PRECIOS"),T_NumeroItem,2,FALSE),"")</f>
        <v>5.2.4</v>
      </c>
      <c r="C1893" s="690" t="str">
        <f ca="1">IFERROR(VLOOKUP(B1893,T_Computo_Presupuesto,2,FALSE),0)</f>
        <v>Excavacion</v>
      </c>
      <c r="D1893" s="690"/>
      <c r="E1893" s="690"/>
      <c r="F1893" s="458" t="s">
        <v>22</v>
      </c>
      <c r="G1893" s="507" t="str">
        <f ca="1">IFERROR(VLOOKUP(B1893,T_Computo_Presupuesto,4,FALSE),0)</f>
        <v>m3</v>
      </c>
    </row>
    <row r="1894" spans="1:7" ht="19.899999999999999" customHeight="1">
      <c r="A1894" s="505"/>
      <c r="B1894" s="458"/>
      <c r="C1894" s="163"/>
      <c r="D1894" s="459"/>
      <c r="E1894" s="460"/>
      <c r="F1894" s="163"/>
      <c r="G1894" s="508"/>
    </row>
    <row r="1895" spans="1:7" ht="19.899999999999999" customHeight="1">
      <c r="A1895" s="509"/>
      <c r="B1895" s="464"/>
      <c r="C1895" s="465" t="s">
        <v>998</v>
      </c>
      <c r="D1895" s="464"/>
      <c r="E1895" s="464"/>
      <c r="F1895" s="464"/>
      <c r="G1895" s="510"/>
    </row>
    <row r="1896" spans="1:7" ht="19.899999999999999" customHeight="1">
      <c r="A1896" s="505"/>
      <c r="B1896" s="466"/>
      <c r="C1896" s="163"/>
      <c r="D1896" s="459"/>
      <c r="E1896" s="460"/>
      <c r="F1896" s="458"/>
      <c r="G1896" s="507"/>
    </row>
    <row r="1897" spans="1:7" ht="19.899999999999999" customHeight="1">
      <c r="A1897" s="505"/>
      <c r="B1897" s="466"/>
      <c r="C1897" s="467" t="s">
        <v>999</v>
      </c>
      <c r="D1897" s="468" t="s">
        <v>23</v>
      </c>
      <c r="E1897" s="468" t="s">
        <v>1000</v>
      </c>
      <c r="F1897" s="468" t="s">
        <v>1001</v>
      </c>
      <c r="G1897" s="467" t="s">
        <v>1002</v>
      </c>
    </row>
    <row r="1898" spans="1:7" ht="19.899999999999999" customHeight="1">
      <c r="A1898" s="505"/>
      <c r="B1898" s="466"/>
      <c r="C1898" s="469"/>
      <c r="D1898" s="470"/>
      <c r="E1898" s="471">
        <f t="shared" ref="E1898:E1907" si="660">IFERROR(VLOOKUP(C1898,T_Equipos,4,FALSE),0)</f>
        <v>0</v>
      </c>
      <c r="F1898" s="472">
        <f t="shared" ref="F1898:F1907" si="661">IFERROR(VLOOKUP(C1898,T_Equipos,5,FALSE),0)</f>
        <v>0</v>
      </c>
      <c r="G1898" s="472">
        <f>ROUND(D1898*F1898,2)</f>
        <v>0</v>
      </c>
    </row>
    <row r="1899" spans="1:7" ht="19.899999999999999" customHeight="1">
      <c r="A1899" s="505"/>
      <c r="B1899" s="466"/>
      <c r="C1899" s="469"/>
      <c r="D1899" s="470"/>
      <c r="E1899" s="471">
        <f t="shared" si="660"/>
        <v>0</v>
      </c>
      <c r="F1899" s="472">
        <f t="shared" si="661"/>
        <v>0</v>
      </c>
      <c r="G1899" s="472">
        <f>ROUND(D1899*F1899,2)</f>
        <v>0</v>
      </c>
    </row>
    <row r="1900" spans="1:7" ht="19.899999999999999" customHeight="1">
      <c r="A1900" s="505"/>
      <c r="B1900" s="466"/>
      <c r="C1900" s="469"/>
      <c r="D1900" s="470"/>
      <c r="E1900" s="471">
        <f t="shared" si="660"/>
        <v>0</v>
      </c>
      <c r="F1900" s="472">
        <f t="shared" si="661"/>
        <v>0</v>
      </c>
      <c r="G1900" s="472">
        <f>ROUND(D1900*F1900,2)</f>
        <v>0</v>
      </c>
    </row>
    <row r="1901" spans="1:7" ht="19.899999999999999" customHeight="1">
      <c r="A1901" s="505"/>
      <c r="B1901" s="466"/>
      <c r="C1901" s="469"/>
      <c r="D1901" s="470"/>
      <c r="E1901" s="471">
        <f t="shared" si="660"/>
        <v>0</v>
      </c>
      <c r="F1901" s="472">
        <f t="shared" si="661"/>
        <v>0</v>
      </c>
      <c r="G1901" s="472">
        <f>ROUND(D1901*F1901,2)</f>
        <v>0</v>
      </c>
    </row>
    <row r="1902" spans="1:7" ht="19.899999999999999" customHeight="1">
      <c r="A1902" s="505"/>
      <c r="B1902" s="466"/>
      <c r="C1902" s="469"/>
      <c r="D1902" s="470"/>
      <c r="E1902" s="471">
        <f t="shared" si="660"/>
        <v>0</v>
      </c>
      <c r="F1902" s="472">
        <f t="shared" si="661"/>
        <v>0</v>
      </c>
      <c r="G1902" s="472">
        <f t="shared" ref="G1902:G1907" si="662">ROUND(D1902*F1902,2)</f>
        <v>0</v>
      </c>
    </row>
    <row r="1903" spans="1:7" ht="19.899999999999999" customHeight="1">
      <c r="A1903" s="505"/>
      <c r="B1903" s="466"/>
      <c r="C1903" s="469"/>
      <c r="D1903" s="470"/>
      <c r="E1903" s="471">
        <f t="shared" si="660"/>
        <v>0</v>
      </c>
      <c r="F1903" s="472">
        <f t="shared" si="661"/>
        <v>0</v>
      </c>
      <c r="G1903" s="472">
        <f t="shared" si="662"/>
        <v>0</v>
      </c>
    </row>
    <row r="1904" spans="1:7" ht="19.899999999999999" customHeight="1">
      <c r="A1904" s="505"/>
      <c r="B1904" s="466"/>
      <c r="C1904" s="469"/>
      <c r="D1904" s="470"/>
      <c r="E1904" s="471">
        <f t="shared" si="660"/>
        <v>0</v>
      </c>
      <c r="F1904" s="472">
        <f t="shared" si="661"/>
        <v>0</v>
      </c>
      <c r="G1904" s="472">
        <f t="shared" si="662"/>
        <v>0</v>
      </c>
    </row>
    <row r="1905" spans="1:7" ht="19.899999999999999" customHeight="1">
      <c r="A1905" s="505"/>
      <c r="B1905" s="466"/>
      <c r="C1905" s="469"/>
      <c r="D1905" s="470"/>
      <c r="E1905" s="471">
        <f t="shared" si="660"/>
        <v>0</v>
      </c>
      <c r="F1905" s="472">
        <f t="shared" si="661"/>
        <v>0</v>
      </c>
      <c r="G1905" s="472">
        <f t="shared" si="662"/>
        <v>0</v>
      </c>
    </row>
    <row r="1906" spans="1:7" ht="19.899999999999999" customHeight="1">
      <c r="A1906" s="505"/>
      <c r="B1906" s="466"/>
      <c r="C1906" s="469"/>
      <c r="D1906" s="470"/>
      <c r="E1906" s="471">
        <f t="shared" si="660"/>
        <v>0</v>
      </c>
      <c r="F1906" s="472">
        <f t="shared" si="661"/>
        <v>0</v>
      </c>
      <c r="G1906" s="472">
        <f t="shared" si="662"/>
        <v>0</v>
      </c>
    </row>
    <row r="1907" spans="1:7" ht="19.899999999999999" customHeight="1">
      <c r="A1907" s="505"/>
      <c r="B1907" s="466"/>
      <c r="C1907" s="469"/>
      <c r="D1907" s="470"/>
      <c r="E1907" s="471">
        <f t="shared" si="660"/>
        <v>0</v>
      </c>
      <c r="F1907" s="472">
        <f t="shared" si="661"/>
        <v>0</v>
      </c>
      <c r="G1907" s="472">
        <f t="shared" si="662"/>
        <v>0</v>
      </c>
    </row>
    <row r="1908" spans="1:7" ht="19.899999999999999" customHeight="1">
      <c r="A1908" s="505"/>
      <c r="B1908" s="466"/>
      <c r="C1908" s="163"/>
      <c r="D1908" s="163"/>
      <c r="E1908" s="473"/>
      <c r="F1908" s="458"/>
      <c r="G1908" s="507"/>
    </row>
    <row r="1909" spans="1:7" ht="19.899999999999999" customHeight="1">
      <c r="A1909" s="505"/>
      <c r="B1909" s="163"/>
      <c r="C1909" s="455" t="s">
        <v>1003</v>
      </c>
      <c r="D1909" s="458" t="s">
        <v>1000</v>
      </c>
      <c r="E1909" s="524">
        <f>SUMPRODUCT(D1898:D1907,E1898:E1907)</f>
        <v>0</v>
      </c>
      <c r="F1909" s="458" t="s">
        <v>1004</v>
      </c>
      <c r="G1909" s="525">
        <f>SUM(G1898:G1907)</f>
        <v>0</v>
      </c>
    </row>
    <row r="1910" spans="1:7" ht="19.899999999999999" customHeight="1">
      <c r="A1910" s="505"/>
      <c r="B1910" s="466"/>
      <c r="C1910" s="474"/>
      <c r="D1910" s="473"/>
      <c r="E1910" s="460"/>
      <c r="F1910" s="458"/>
      <c r="G1910" s="511"/>
    </row>
    <row r="1911" spans="1:7" ht="19.899999999999999" customHeight="1">
      <c r="A1911" s="512"/>
      <c r="B1911" s="466"/>
      <c r="C1911" s="458" t="s">
        <v>1005</v>
      </c>
      <c r="D1911" s="475"/>
      <c r="E1911" s="476" t="str">
        <f ca="1">G1893&amp;"/día"</f>
        <v>m3/día</v>
      </c>
      <c r="F1911" s="452"/>
      <c r="G1911" s="507"/>
    </row>
    <row r="1912" spans="1:7" ht="19.899999999999999" customHeight="1">
      <c r="A1912" s="505"/>
      <c r="B1912" s="466"/>
      <c r="C1912" s="163"/>
      <c r="D1912" s="459"/>
      <c r="E1912" s="460"/>
      <c r="F1912" s="458"/>
      <c r="G1912" s="507"/>
    </row>
    <row r="1913" spans="1:7" ht="19.899999999999999" customHeight="1">
      <c r="A1913" s="677" t="s">
        <v>575</v>
      </c>
      <c r="B1913" s="678"/>
      <c r="C1913" s="679" t="s">
        <v>0</v>
      </c>
      <c r="D1913" s="691" t="s">
        <v>1864</v>
      </c>
      <c r="E1913" s="691" t="s">
        <v>1863</v>
      </c>
      <c r="F1913" s="683" t="s">
        <v>1006</v>
      </c>
      <c r="G1913" s="685" t="s">
        <v>25</v>
      </c>
    </row>
    <row r="1914" spans="1:7" ht="19.899999999999999" customHeight="1">
      <c r="A1914" s="477" t="s">
        <v>576</v>
      </c>
      <c r="B1914" s="477" t="s">
        <v>577</v>
      </c>
      <c r="C1914" s="680"/>
      <c r="D1914" s="692"/>
      <c r="E1914" s="682"/>
      <c r="F1914" s="684"/>
      <c r="G1914" s="686"/>
    </row>
    <row r="1915" spans="1:7" ht="19.899999999999999" customHeight="1">
      <c r="A1915" s="513"/>
      <c r="B1915" s="163"/>
      <c r="C1915" s="455" t="s">
        <v>1007</v>
      </c>
      <c r="D1915" s="460"/>
      <c r="E1915" s="460"/>
      <c r="F1915" s="163"/>
      <c r="G1915" s="514"/>
    </row>
    <row r="1916" spans="1:7" ht="19.899999999999999" customHeight="1">
      <c r="A1916" s="515">
        <f t="shared" ref="A1916:A1923" si="663">IFERROR(VLOOKUP(C1916,T_Insumos,4,FALSE),0)</f>
        <v>0</v>
      </c>
      <c r="B1916" s="478">
        <f t="shared" ref="B1916:B1923" si="664">IFERROR(VLOOKUP(C1916,T_Insumos,5,FALSE),0)</f>
        <v>0</v>
      </c>
      <c r="C1916" s="469"/>
      <c r="D1916" s="479">
        <f t="shared" ref="D1916:D1923" si="665">IFERROR(VLOOKUP(C1916,T_Insumos,3,FALSE),0)</f>
        <v>0</v>
      </c>
      <c r="E1916" s="472">
        <f>D1916*$G$1823</f>
        <v>0</v>
      </c>
      <c r="F1916" s="475">
        <f>IF(C1916="",0,IFERROR(VLOOKUP(COUNTIF($A$1:A1916,"ANALISIS DE PRECIOS"),T_Rendimiento_Equipo,5,FALSE),0))</f>
        <v>0</v>
      </c>
      <c r="G1916" s="472">
        <f>IFERROR(ROUND(E1916/F1916,2),0)</f>
        <v>0</v>
      </c>
    </row>
    <row r="1917" spans="1:7" ht="19.899999999999999" customHeight="1">
      <c r="A1917" s="515"/>
      <c r="B1917" s="478"/>
      <c r="C1917" s="469"/>
      <c r="D1917" s="479">
        <f t="shared" si="665"/>
        <v>0</v>
      </c>
      <c r="E1917" s="472">
        <f t="shared" ref="E1917:E1924" si="666">D1917*$G$1823</f>
        <v>0</v>
      </c>
      <c r="F1917" s="475">
        <f>IF(C1917="",0,IFERROR(VLOOKUP(COUNTIF($A$1:A1917,"ANALISIS DE PRECIOS"),T_Rendimiento_Equipo,5,FALSE),0))</f>
        <v>0</v>
      </c>
      <c r="G1917" s="472">
        <f t="shared" ref="G1917:G1921" si="667">IFERROR(ROUND(E1917/F1917,2),0)</f>
        <v>0</v>
      </c>
    </row>
    <row r="1918" spans="1:7" ht="19.899999999999999" customHeight="1">
      <c r="A1918" s="515">
        <f t="shared" si="663"/>
        <v>0</v>
      </c>
      <c r="B1918" s="478">
        <f t="shared" si="664"/>
        <v>0</v>
      </c>
      <c r="C1918" s="480"/>
      <c r="D1918" s="479">
        <f t="shared" si="665"/>
        <v>0</v>
      </c>
      <c r="E1918" s="472">
        <f t="shared" si="666"/>
        <v>0</v>
      </c>
      <c r="F1918" s="475">
        <f>IF(C1918="",0,IFERROR(VLOOKUP(COUNTIF($A$1:A1918,"ANALISIS DE PRECIOS"),T_Rendimiento_Equipo,5,FALSE),0))</f>
        <v>0</v>
      </c>
      <c r="G1918" s="472">
        <f t="shared" si="667"/>
        <v>0</v>
      </c>
    </row>
    <row r="1919" spans="1:7" ht="19.899999999999999" customHeight="1">
      <c r="A1919" s="515">
        <f t="shared" si="663"/>
        <v>0</v>
      </c>
      <c r="B1919" s="478">
        <f t="shared" si="664"/>
        <v>0</v>
      </c>
      <c r="C1919" s="480"/>
      <c r="D1919" s="479">
        <f t="shared" si="665"/>
        <v>0</v>
      </c>
      <c r="E1919" s="472">
        <f t="shared" si="666"/>
        <v>0</v>
      </c>
      <c r="F1919" s="475">
        <f>IF(C1919="",0,IFERROR(VLOOKUP(COUNTIF($A$1:A1919,"ANALISIS DE PRECIOS"),T_Rendimiento_Equipo,5,FALSE),0))</f>
        <v>0</v>
      </c>
      <c r="G1919" s="472">
        <f t="shared" si="667"/>
        <v>0</v>
      </c>
    </row>
    <row r="1920" spans="1:7" ht="19.899999999999999" customHeight="1">
      <c r="A1920" s="515">
        <f t="shared" si="663"/>
        <v>0</v>
      </c>
      <c r="B1920" s="478">
        <f t="shared" si="664"/>
        <v>0</v>
      </c>
      <c r="C1920" s="480"/>
      <c r="D1920" s="479">
        <f t="shared" si="665"/>
        <v>0</v>
      </c>
      <c r="E1920" s="472">
        <f t="shared" si="666"/>
        <v>0</v>
      </c>
      <c r="F1920" s="475">
        <f>IF(C1920="",0,IFERROR(VLOOKUP(COUNTIF($A$1:A1920,"ANALISIS DE PRECIOS"),T_Rendimiento_Equipo,5,FALSE),0))</f>
        <v>0</v>
      </c>
      <c r="G1920" s="472">
        <f t="shared" si="667"/>
        <v>0</v>
      </c>
    </row>
    <row r="1921" spans="1:9" ht="19.899999999999999" customHeight="1">
      <c r="A1921" s="515">
        <f t="shared" si="663"/>
        <v>0</v>
      </c>
      <c r="B1921" s="478">
        <f t="shared" si="664"/>
        <v>0</v>
      </c>
      <c r="C1921" s="480"/>
      <c r="D1921" s="479">
        <f t="shared" si="665"/>
        <v>0</v>
      </c>
      <c r="E1921" s="472">
        <f t="shared" si="666"/>
        <v>0</v>
      </c>
      <c r="F1921" s="475">
        <f>IF(C1921="",0,IFERROR(VLOOKUP(COUNTIF($A$1:A1921,"ANALISIS DE PRECIOS"),T_Rendimiento_Equipo,5,FALSE),0))</f>
        <v>0</v>
      </c>
      <c r="G1921" s="472">
        <f t="shared" si="667"/>
        <v>0</v>
      </c>
    </row>
    <row r="1922" spans="1:9" ht="19.899999999999999" customHeight="1">
      <c r="A1922" s="515">
        <f t="shared" si="663"/>
        <v>0</v>
      </c>
      <c r="B1922" s="478">
        <f t="shared" si="664"/>
        <v>0</v>
      </c>
      <c r="C1922" s="480"/>
      <c r="D1922" s="479">
        <f t="shared" si="665"/>
        <v>0</v>
      </c>
      <c r="E1922" s="472">
        <f t="shared" si="666"/>
        <v>0</v>
      </c>
      <c r="F1922" s="475">
        <f>IF(C1922="",0,IFERROR(VLOOKUP(COUNTIF($A$1:A1922,"ANALISIS DE PRECIOS"),T_Rendimiento_Equipo,5,FALSE),0))</f>
        <v>0</v>
      </c>
      <c r="G1922" s="472">
        <f t="shared" ref="G1922:G1924" si="668">IFERROR(ROUND(E1922/F1922,2),0)</f>
        <v>0</v>
      </c>
    </row>
    <row r="1923" spans="1:9" ht="19.899999999999999" customHeight="1">
      <c r="A1923" s="515">
        <f t="shared" si="663"/>
        <v>0</v>
      </c>
      <c r="B1923" s="478">
        <f t="shared" si="664"/>
        <v>0</v>
      </c>
      <c r="C1923" s="480"/>
      <c r="D1923" s="479">
        <f t="shared" si="665"/>
        <v>0</v>
      </c>
      <c r="E1923" s="472">
        <f t="shared" si="666"/>
        <v>0</v>
      </c>
      <c r="F1923" s="475">
        <f>IF(C1923="",0,IFERROR(VLOOKUP(COUNTIF($A$1:A1923,"ANALISIS DE PRECIOS"),T_Rendimiento_Equipo,5,FALSE),0))</f>
        <v>0</v>
      </c>
      <c r="G1923" s="472">
        <f t="shared" si="668"/>
        <v>0</v>
      </c>
    </row>
    <row r="1924" spans="1:9" ht="19.899999999999999" customHeight="1">
      <c r="A1924" s="515">
        <f t="shared" ref="A1924" si="669">IFERROR(VLOOKUP(C1924,T_Insumos,4,FALSE),0)</f>
        <v>0</v>
      </c>
      <c r="B1924" s="478">
        <f t="shared" ref="B1924" si="670">IFERROR(VLOOKUP(C1924,T_Insumos,5,FALSE),0)</f>
        <v>0</v>
      </c>
      <c r="C1924" s="469"/>
      <c r="D1924" s="479">
        <f t="shared" ref="D1924" si="671">IFERROR(VLOOKUP(C1924,T_Insumos,3,FALSE),0)</f>
        <v>0</v>
      </c>
      <c r="E1924" s="472">
        <f t="shared" si="666"/>
        <v>0</v>
      </c>
      <c r="F1924" s="475">
        <f>IF(C1924="",0,IFERROR(VLOOKUP(COUNTIF($A$1:A1924,"ANALISIS DE PRECIOS"),T_Rendimiento_Equipo,5,FALSE),0))</f>
        <v>0</v>
      </c>
      <c r="G1924" s="472">
        <f t="shared" si="668"/>
        <v>0</v>
      </c>
    </row>
    <row r="1925" spans="1:9" ht="19.899999999999999" customHeight="1">
      <c r="A1925" s="516"/>
      <c r="B1925" s="459"/>
      <c r="C1925" s="163"/>
      <c r="D1925" s="459"/>
      <c r="E1925" s="460"/>
      <c r="F1925" s="481" t="s">
        <v>26</v>
      </c>
      <c r="G1925" s="517">
        <f>SUBTOTAL(9,G1916:G1924)</f>
        <v>0</v>
      </c>
    </row>
    <row r="1926" spans="1:9" ht="19.899999999999999" customHeight="1">
      <c r="A1926" s="513"/>
      <c r="B1926" s="163"/>
      <c r="C1926" s="455" t="s">
        <v>712</v>
      </c>
      <c r="D1926" s="459"/>
      <c r="E1926" s="460"/>
      <c r="F1926" s="461"/>
      <c r="G1926" s="514"/>
    </row>
    <row r="1927" spans="1:9" ht="19.899999999999999" customHeight="1">
      <c r="A1927" s="677" t="s">
        <v>575</v>
      </c>
      <c r="B1927" s="678"/>
      <c r="C1927" s="679" t="s">
        <v>0</v>
      </c>
      <c r="D1927" s="681" t="s">
        <v>23</v>
      </c>
      <c r="E1927" s="681" t="s">
        <v>1830</v>
      </c>
      <c r="F1927" s="683" t="s">
        <v>1006</v>
      </c>
      <c r="G1927" s="685" t="s">
        <v>25</v>
      </c>
    </row>
    <row r="1928" spans="1:9" ht="19.899999999999999" customHeight="1">
      <c r="A1928" s="477" t="s">
        <v>576</v>
      </c>
      <c r="B1928" s="477" t="s">
        <v>577</v>
      </c>
      <c r="C1928" s="680"/>
      <c r="D1928" s="682"/>
      <c r="E1928" s="682"/>
      <c r="F1928" s="684"/>
      <c r="G1928" s="686"/>
    </row>
    <row r="1929" spans="1:9" ht="19.899999999999999" customHeight="1">
      <c r="A1929" s="515">
        <f t="shared" ref="A1929:A1934" si="672">IFERROR(VLOOKUP(C1929,T_Insumos,4,FALSE),0)</f>
        <v>0</v>
      </c>
      <c r="B1929" s="478">
        <f t="shared" ref="B1929:B1934" si="673">IFERROR(VLOOKUP(C1929,T_Insumos,5,FALSE),0)</f>
        <v>0</v>
      </c>
      <c r="C1929" s="482"/>
      <c r="D1929" s="475"/>
      <c r="E1929" s="472">
        <f t="shared" ref="E1929:E1934" si="674">IFERROR(VLOOKUP(C1929,T_Insumos,3,FALSE),0)</f>
        <v>0</v>
      </c>
      <c r="F1929" s="475">
        <f>IF(C1929="",0,IFERROR(VLOOKUP(COUNTIF($A$1:A1929,"ANALISIS DE PRECIOS"),T_Rendimiento_Equipo,5,FALSE),0))</f>
        <v>0</v>
      </c>
      <c r="G1929" s="472">
        <f>IFERROR(ROUND(D1929*E1929/F1929,2),0)</f>
        <v>0</v>
      </c>
    </row>
    <row r="1930" spans="1:9" ht="19.899999999999999" customHeight="1">
      <c r="A1930" s="515">
        <f t="shared" si="672"/>
        <v>0</v>
      </c>
      <c r="B1930" s="478">
        <f t="shared" si="673"/>
        <v>0</v>
      </c>
      <c r="C1930" s="469"/>
      <c r="D1930" s="475"/>
      <c r="E1930" s="472">
        <f t="shared" si="674"/>
        <v>0</v>
      </c>
      <c r="F1930" s="475">
        <f>IF(C1930="",0,IFERROR(VLOOKUP(COUNTIF($A$1:A1930,"ANALISIS DE PRECIOS"),T_Rendimiento_Equipo,5,FALSE),0))</f>
        <v>0</v>
      </c>
      <c r="G1930" s="472">
        <f t="shared" ref="G1930:G1935" si="675">IFERROR(ROUND(D1930*E1930/F1930,2),0)</f>
        <v>0</v>
      </c>
    </row>
    <row r="1931" spans="1:9" ht="19.899999999999999" customHeight="1">
      <c r="A1931" s="515">
        <f t="shared" si="672"/>
        <v>0</v>
      </c>
      <c r="B1931" s="478">
        <f t="shared" si="673"/>
        <v>0</v>
      </c>
      <c r="C1931" s="469"/>
      <c r="D1931" s="475"/>
      <c r="E1931" s="472">
        <f t="shared" si="674"/>
        <v>0</v>
      </c>
      <c r="F1931" s="475">
        <f>IF(C1931="",0,IFERROR(VLOOKUP(COUNTIF($A$1:A1931,"ANALISIS DE PRECIOS"),T_Rendimiento_Equipo,5,FALSE),0))</f>
        <v>0</v>
      </c>
      <c r="G1931" s="472">
        <f t="shared" si="675"/>
        <v>0</v>
      </c>
    </row>
    <row r="1932" spans="1:9" ht="19.899999999999999" customHeight="1">
      <c r="A1932" s="515">
        <f t="shared" si="672"/>
        <v>0</v>
      </c>
      <c r="B1932" s="478">
        <f t="shared" si="673"/>
        <v>0</v>
      </c>
      <c r="C1932" s="469"/>
      <c r="D1932" s="475"/>
      <c r="E1932" s="472">
        <f t="shared" si="674"/>
        <v>0</v>
      </c>
      <c r="F1932" s="475">
        <f>IF(C1932="",0,IFERROR(VLOOKUP(COUNTIF($A$1:A1932,"ANALISIS DE PRECIOS"),T_Rendimiento_Equipo,5,FALSE),0))</f>
        <v>0</v>
      </c>
      <c r="G1932" s="472">
        <f t="shared" si="675"/>
        <v>0</v>
      </c>
    </row>
    <row r="1933" spans="1:9" ht="19.899999999999999" customHeight="1">
      <c r="A1933" s="515">
        <f t="shared" si="672"/>
        <v>0</v>
      </c>
      <c r="B1933" s="478">
        <f t="shared" si="673"/>
        <v>0</v>
      </c>
      <c r="C1933" s="469"/>
      <c r="D1933" s="475"/>
      <c r="E1933" s="472">
        <f t="shared" si="674"/>
        <v>0</v>
      </c>
      <c r="F1933" s="475">
        <f>IF(C1933="",0,IFERROR(VLOOKUP(COUNTIF($A$1:A1933,"ANALISIS DE PRECIOS"),T_Rendimiento_Equipo,5,FALSE),0))</f>
        <v>0</v>
      </c>
      <c r="G1933" s="472">
        <f t="shared" si="675"/>
        <v>0</v>
      </c>
    </row>
    <row r="1934" spans="1:9" ht="19.899999999999999" customHeight="1">
      <c r="A1934" s="515">
        <f t="shared" si="672"/>
        <v>0</v>
      </c>
      <c r="B1934" s="478">
        <f t="shared" si="673"/>
        <v>0</v>
      </c>
      <c r="C1934" s="469"/>
      <c r="D1934" s="483"/>
      <c r="E1934" s="472">
        <f t="shared" si="674"/>
        <v>0</v>
      </c>
      <c r="F1934" s="475">
        <f>IF(C1934="",0,IFERROR(VLOOKUP(COUNTIF($A$1:A1934,"ANALISIS DE PRECIOS"),T_Rendimiento_Equipo,5,FALSE),0))</f>
        <v>0</v>
      </c>
      <c r="G1934" s="472">
        <f t="shared" si="675"/>
        <v>0</v>
      </c>
    </row>
    <row r="1935" spans="1:9" ht="19.899999999999999" customHeight="1">
      <c r="A1935" s="515">
        <f t="shared" ref="A1935" si="676">IFERROR(VLOOKUP(C1935,T_Insumos,4,FALSE),0)</f>
        <v>0</v>
      </c>
      <c r="B1935" s="478">
        <f t="shared" ref="B1935" si="677">IFERROR(VLOOKUP(C1935,T_Insumos,5,FALSE),0)</f>
        <v>0</v>
      </c>
      <c r="C1935" s="478"/>
      <c r="D1935" s="484"/>
      <c r="E1935" s="472">
        <f t="shared" ref="E1935" si="678">IFERROR(VLOOKUP(C1935,T_Insumos,3,FALSE),0)</f>
        <v>0</v>
      </c>
      <c r="F1935" s="475">
        <f>IF(C1935="",0,IFERROR(VLOOKUP(COUNTIF($A$1:A1935,"ANALISIS DE PRECIOS"),T_Rendimiento_Equipo,5,FALSE),0))</f>
        <v>0</v>
      </c>
      <c r="G1935" s="472">
        <f t="shared" si="675"/>
        <v>0</v>
      </c>
    </row>
    <row r="1936" spans="1:9" ht="19.899999999999999" customHeight="1">
      <c r="A1936" s="516"/>
      <c r="B1936" s="459"/>
      <c r="C1936" s="163"/>
      <c r="D1936" s="459"/>
      <c r="E1936" s="460"/>
      <c r="F1936" s="481" t="s">
        <v>27</v>
      </c>
      <c r="G1936" s="518">
        <f>SUBTOTAL(9,G1929:G1935)</f>
        <v>0</v>
      </c>
      <c r="I1936" s="452">
        <v>270718.82</v>
      </c>
    </row>
    <row r="1937" spans="1:7" ht="19.899999999999999" customHeight="1">
      <c r="A1937" s="513"/>
      <c r="B1937" s="163"/>
      <c r="C1937" s="455" t="s">
        <v>1013</v>
      </c>
      <c r="D1937" s="459"/>
      <c r="E1937" s="460"/>
      <c r="F1937" s="461"/>
      <c r="G1937" s="514"/>
    </row>
    <row r="1938" spans="1:7" ht="19.899999999999999" customHeight="1">
      <c r="A1938" s="677" t="s">
        <v>575</v>
      </c>
      <c r="B1938" s="678"/>
      <c r="C1938" s="679" t="s">
        <v>0</v>
      </c>
      <c r="D1938" s="679" t="s">
        <v>1865</v>
      </c>
      <c r="E1938" s="681" t="s">
        <v>23</v>
      </c>
      <c r="F1938" s="683" t="s">
        <v>24</v>
      </c>
      <c r="G1938" s="685" t="s">
        <v>25</v>
      </c>
    </row>
    <row r="1939" spans="1:7" ht="19.899999999999999" customHeight="1">
      <c r="A1939" s="477" t="s">
        <v>576</v>
      </c>
      <c r="B1939" s="477" t="s">
        <v>577</v>
      </c>
      <c r="C1939" s="680"/>
      <c r="D1939" s="680"/>
      <c r="E1939" s="682"/>
      <c r="F1939" s="684"/>
      <c r="G1939" s="686"/>
    </row>
    <row r="1940" spans="1:7" ht="19.899999999999999" customHeight="1">
      <c r="A1940" s="515">
        <f t="shared" ref="A1940:A1949" si="679">IFERROR(VLOOKUP(C1940,T_Insumos,4,FALSE),0)</f>
        <v>0</v>
      </c>
      <c r="B1940" s="478">
        <f t="shared" ref="B1940:B1949" si="680">IFERROR(VLOOKUP(C1940,T_Insumos,5,FALSE),0)</f>
        <v>0</v>
      </c>
      <c r="C1940" s="478"/>
      <c r="D1940" s="526">
        <f t="shared" ref="D1940:D1950" si="681">IFERROR(VLOOKUP(C1940,T_Insumos,2,FALSE),0)</f>
        <v>0</v>
      </c>
      <c r="E1940" s="470"/>
      <c r="F1940" s="472">
        <f t="shared" ref="F1940:F1950" si="682">IFERROR(VLOOKUP(C1940,T_Insumos,3,FALSE),0)</f>
        <v>0</v>
      </c>
      <c r="G1940" s="472">
        <f>ROUND(E1940*F1940,2)</f>
        <v>0</v>
      </c>
    </row>
    <row r="1941" spans="1:7" ht="19.899999999999999" customHeight="1">
      <c r="A1941" s="515">
        <f t="shared" si="679"/>
        <v>0</v>
      </c>
      <c r="B1941" s="478">
        <f t="shared" si="680"/>
        <v>0</v>
      </c>
      <c r="C1941" s="478"/>
      <c r="D1941" s="526">
        <f t="shared" si="681"/>
        <v>0</v>
      </c>
      <c r="E1941" s="470"/>
      <c r="F1941" s="472">
        <f t="shared" si="682"/>
        <v>0</v>
      </c>
      <c r="G1941" s="472">
        <f t="shared" ref="G1941:G1950" si="683">ROUND(E1941*F1941,2)</f>
        <v>0</v>
      </c>
    </row>
    <row r="1942" spans="1:7" ht="19.899999999999999" customHeight="1">
      <c r="A1942" s="515">
        <f t="shared" si="679"/>
        <v>0</v>
      </c>
      <c r="B1942" s="478">
        <f t="shared" si="680"/>
        <v>0</v>
      </c>
      <c r="C1942" s="478"/>
      <c r="D1942" s="526">
        <f t="shared" si="681"/>
        <v>0</v>
      </c>
      <c r="E1942" s="470"/>
      <c r="F1942" s="472">
        <f t="shared" si="682"/>
        <v>0</v>
      </c>
      <c r="G1942" s="472">
        <f t="shared" si="683"/>
        <v>0</v>
      </c>
    </row>
    <row r="1943" spans="1:7" ht="19.899999999999999" customHeight="1">
      <c r="A1943" s="515">
        <f t="shared" si="679"/>
        <v>0</v>
      </c>
      <c r="B1943" s="478">
        <f t="shared" si="680"/>
        <v>0</v>
      </c>
      <c r="C1943" s="478"/>
      <c r="D1943" s="526">
        <f t="shared" si="681"/>
        <v>0</v>
      </c>
      <c r="E1943" s="470"/>
      <c r="F1943" s="472">
        <f t="shared" si="682"/>
        <v>0</v>
      </c>
      <c r="G1943" s="472">
        <f t="shared" si="683"/>
        <v>0</v>
      </c>
    </row>
    <row r="1944" spans="1:7" ht="19.899999999999999" customHeight="1">
      <c r="A1944" s="515">
        <f t="shared" si="679"/>
        <v>0</v>
      </c>
      <c r="B1944" s="478">
        <f t="shared" si="680"/>
        <v>0</v>
      </c>
      <c r="C1944" s="478"/>
      <c r="D1944" s="526">
        <f t="shared" si="681"/>
        <v>0</v>
      </c>
      <c r="E1944" s="470"/>
      <c r="F1944" s="472">
        <f t="shared" si="682"/>
        <v>0</v>
      </c>
      <c r="G1944" s="472">
        <f t="shared" si="683"/>
        <v>0</v>
      </c>
    </row>
    <row r="1945" spans="1:7" ht="19.899999999999999" customHeight="1">
      <c r="A1945" s="515">
        <f t="shared" si="679"/>
        <v>0</v>
      </c>
      <c r="B1945" s="478">
        <f t="shared" si="680"/>
        <v>0</v>
      </c>
      <c r="C1945" s="478"/>
      <c r="D1945" s="526">
        <f t="shared" si="681"/>
        <v>0</v>
      </c>
      <c r="E1945" s="470"/>
      <c r="F1945" s="472">
        <f t="shared" si="682"/>
        <v>0</v>
      </c>
      <c r="G1945" s="472">
        <f t="shared" si="683"/>
        <v>0</v>
      </c>
    </row>
    <row r="1946" spans="1:7" ht="19.899999999999999" customHeight="1">
      <c r="A1946" s="515">
        <f t="shared" si="679"/>
        <v>0</v>
      </c>
      <c r="B1946" s="478">
        <f t="shared" si="680"/>
        <v>0</v>
      </c>
      <c r="C1946" s="478"/>
      <c r="D1946" s="526">
        <f t="shared" si="681"/>
        <v>0</v>
      </c>
      <c r="E1946" s="470"/>
      <c r="F1946" s="472">
        <f t="shared" si="682"/>
        <v>0</v>
      </c>
      <c r="G1946" s="472">
        <f t="shared" si="683"/>
        <v>0</v>
      </c>
    </row>
    <row r="1947" spans="1:7" ht="19.899999999999999" customHeight="1">
      <c r="A1947" s="515">
        <f t="shared" si="679"/>
        <v>0</v>
      </c>
      <c r="B1947" s="478">
        <f t="shared" si="680"/>
        <v>0</v>
      </c>
      <c r="C1947" s="478"/>
      <c r="D1947" s="526">
        <f t="shared" si="681"/>
        <v>0</v>
      </c>
      <c r="E1947" s="470"/>
      <c r="F1947" s="472">
        <f t="shared" si="682"/>
        <v>0</v>
      </c>
      <c r="G1947" s="472">
        <f t="shared" si="683"/>
        <v>0</v>
      </c>
    </row>
    <row r="1948" spans="1:7" ht="19.899999999999999" customHeight="1">
      <c r="A1948" s="515">
        <f t="shared" si="679"/>
        <v>0</v>
      </c>
      <c r="B1948" s="478">
        <f t="shared" si="680"/>
        <v>0</v>
      </c>
      <c r="C1948" s="478"/>
      <c r="D1948" s="526">
        <f t="shared" si="681"/>
        <v>0</v>
      </c>
      <c r="E1948" s="470"/>
      <c r="F1948" s="472">
        <f t="shared" si="682"/>
        <v>0</v>
      </c>
      <c r="G1948" s="472">
        <f t="shared" si="683"/>
        <v>0</v>
      </c>
    </row>
    <row r="1949" spans="1:7" ht="19.899999999999999" customHeight="1">
      <c r="A1949" s="515">
        <f t="shared" si="679"/>
        <v>0</v>
      </c>
      <c r="B1949" s="478">
        <f t="shared" si="680"/>
        <v>0</v>
      </c>
      <c r="C1949" s="478"/>
      <c r="D1949" s="526">
        <f t="shared" si="681"/>
        <v>0</v>
      </c>
      <c r="E1949" s="470"/>
      <c r="F1949" s="472">
        <f t="shared" si="682"/>
        <v>0</v>
      </c>
      <c r="G1949" s="472">
        <f t="shared" si="683"/>
        <v>0</v>
      </c>
    </row>
    <row r="1950" spans="1:7" ht="19.899999999999999" customHeight="1">
      <c r="A1950" s="515">
        <f t="shared" ref="A1950" si="684">IFERROR(VLOOKUP(C1950,T_Insumos,4,FALSE),0)</f>
        <v>0</v>
      </c>
      <c r="B1950" s="478">
        <f t="shared" ref="B1950" si="685">IFERROR(VLOOKUP(C1950,T_Insumos,5,FALSE),0)</f>
        <v>0</v>
      </c>
      <c r="C1950" s="478"/>
      <c r="D1950" s="526">
        <f t="shared" si="681"/>
        <v>0</v>
      </c>
      <c r="E1950" s="470"/>
      <c r="F1950" s="472">
        <f t="shared" si="682"/>
        <v>0</v>
      </c>
      <c r="G1950" s="472">
        <f t="shared" si="683"/>
        <v>0</v>
      </c>
    </row>
    <row r="1951" spans="1:7" ht="19.899999999999999" customHeight="1">
      <c r="A1951" s="513"/>
      <c r="B1951" s="163"/>
      <c r="C1951" s="163"/>
      <c r="D1951" s="459"/>
      <c r="E1951" s="460"/>
      <c r="F1951" s="481" t="s">
        <v>28</v>
      </c>
      <c r="G1951" s="518">
        <f>SUBTOTAL(9,G1940:G1950)</f>
        <v>0</v>
      </c>
    </row>
    <row r="1952" spans="1:7" ht="19.899999999999999" customHeight="1">
      <c r="A1952" s="513"/>
      <c r="B1952" s="163"/>
      <c r="C1952" s="455" t="s">
        <v>1014</v>
      </c>
      <c r="D1952" s="459"/>
      <c r="E1952" s="460"/>
      <c r="F1952" s="461"/>
      <c r="G1952" s="514"/>
    </row>
    <row r="1953" spans="1:7" ht="19.899999999999999" customHeight="1">
      <c r="A1953" s="677" t="s">
        <v>575</v>
      </c>
      <c r="B1953" s="678"/>
      <c r="C1953" s="679" t="s">
        <v>0</v>
      </c>
      <c r="D1953" s="679" t="s">
        <v>1865</v>
      </c>
      <c r="E1953" s="681" t="s">
        <v>23</v>
      </c>
      <c r="F1953" s="683" t="s">
        <v>24</v>
      </c>
      <c r="G1953" s="685" t="s">
        <v>25</v>
      </c>
    </row>
    <row r="1954" spans="1:7" ht="19.899999999999999" customHeight="1">
      <c r="A1954" s="477" t="s">
        <v>576</v>
      </c>
      <c r="B1954" s="477" t="s">
        <v>577</v>
      </c>
      <c r="C1954" s="680"/>
      <c r="D1954" s="680"/>
      <c r="E1954" s="682"/>
      <c r="F1954" s="684"/>
      <c r="G1954" s="686"/>
    </row>
    <row r="1955" spans="1:7" ht="19.899999999999999" customHeight="1">
      <c r="A1955" s="515">
        <f>IFERROR(VLOOKUP(C1955,T_Insumos,4,FALSE),0)</f>
        <v>0</v>
      </c>
      <c r="B1955" s="478">
        <f>IFERROR(VLOOKUP(C1955,T_Insumos,5,FALSE),0)</f>
        <v>0</v>
      </c>
      <c r="C1955" s="469"/>
      <c r="D1955" s="526">
        <f>IF(C1955=0,0,"$/tnkm")</f>
        <v>0</v>
      </c>
      <c r="E1955" s="470"/>
      <c r="F1955" s="472">
        <f>IFERROR(VLOOKUP(C1955,T_Insumos,3,FALSE),0)</f>
        <v>0</v>
      </c>
      <c r="G1955" s="472">
        <f>ROUND(E1955*F1955,2)</f>
        <v>0</v>
      </c>
    </row>
    <row r="1956" spans="1:7" ht="19.899999999999999" customHeight="1">
      <c r="A1956" s="515">
        <f>IFERROR(VLOOKUP(C1956,T_Insumos,4,FALSE),0)</f>
        <v>0</v>
      </c>
      <c r="B1956" s="478">
        <f>IFERROR(VLOOKUP(C1956,T_Insumos,5,FALSE),0)</f>
        <v>0</v>
      </c>
      <c r="C1956" s="469"/>
      <c r="D1956" s="526">
        <f>IF(C1956=0,0,"$/tnkm")</f>
        <v>0</v>
      </c>
      <c r="E1956" s="486"/>
      <c r="F1956" s="472">
        <f>IFERROR(VLOOKUP(C1956,T_Insumos,3,FALSE),0)</f>
        <v>0</v>
      </c>
      <c r="G1956" s="472">
        <f t="shared" ref="G1956" si="686">ROUND(E1956*F1956,2)</f>
        <v>0</v>
      </c>
    </row>
    <row r="1957" spans="1:7" ht="19.899999999999999" customHeight="1">
      <c r="A1957" s="513"/>
      <c r="B1957" s="163"/>
      <c r="C1957" s="163"/>
      <c r="D1957" s="459"/>
      <c r="E1957" s="460"/>
      <c r="F1957" s="481" t="s">
        <v>1015</v>
      </c>
      <c r="G1957" s="518">
        <f>SUBTOTAL(9,G1955:G1956)</f>
        <v>0</v>
      </c>
    </row>
    <row r="1958" spans="1:7" ht="19.899999999999999" customHeight="1">
      <c r="A1958" s="516"/>
      <c r="B1958" s="459"/>
      <c r="C1958" s="163"/>
      <c r="D1958" s="459"/>
      <c r="E1958" s="460"/>
      <c r="F1958" s="461"/>
      <c r="G1958" s="514"/>
    </row>
    <row r="1959" spans="1:7" ht="19.899999999999999" customHeight="1">
      <c r="A1959" s="574" t="str">
        <f>B1893</f>
        <v>5.2.4</v>
      </c>
      <c r="B1959" s="571" t="str">
        <f ca="1">C1893</f>
        <v>Excavacion</v>
      </c>
      <c r="C1959" s="459"/>
      <c r="D1959" s="459" t="s">
        <v>1831</v>
      </c>
      <c r="E1959" s="572"/>
      <c r="F1959" s="573" t="str">
        <f ca="1">"$/"&amp;G1893</f>
        <v>$/m3</v>
      </c>
      <c r="G1959" s="523">
        <f>SUBTOTAL(9,G1916:G1958)</f>
        <v>0</v>
      </c>
    </row>
    <row r="1960" spans="1:7" ht="19.899999999999999" customHeight="1">
      <c r="A1960" s="519"/>
      <c r="B1960" s="520"/>
      <c r="C1960" s="521"/>
      <c r="D1960" s="521" t="s">
        <v>2041</v>
      </c>
      <c r="E1960" s="522"/>
      <c r="F1960" s="575" t="str">
        <f ca="1">"$/"&amp;G1893</f>
        <v>$/m3</v>
      </c>
      <c r="G1960" s="523">
        <f>ROUND(G1959*Coeficiente_Paso,2)</f>
        <v>0</v>
      </c>
    </row>
    <row r="1961" spans="1:7" ht="19.899999999999999" customHeight="1">
      <c r="A1961" s="163"/>
      <c r="B1961" s="163"/>
      <c r="C1961" s="163"/>
      <c r="D1961" s="163"/>
      <c r="E1961" s="163"/>
      <c r="F1961" s="163"/>
      <c r="G1961" s="163"/>
    </row>
    <row r="1962" spans="1:7" ht="19.899999999999999" customHeight="1">
      <c r="A1962" s="687" t="s">
        <v>30</v>
      </c>
      <c r="B1962" s="688"/>
      <c r="C1962" s="688"/>
      <c r="D1962" s="688"/>
      <c r="E1962" s="688"/>
      <c r="F1962" s="688"/>
      <c r="G1962" s="689"/>
    </row>
    <row r="1963" spans="1:7" ht="19.899999999999999" customHeight="1">
      <c r="A1963" s="502" t="s">
        <v>710</v>
      </c>
      <c r="B1963" s="453" t="str">
        <f>Comitente</f>
        <v>DEPARTAMENTO DE HIDRAULICA</v>
      </c>
      <c r="C1963" s="454"/>
      <c r="D1963" s="455"/>
      <c r="E1963" s="455"/>
      <c r="F1963" s="456"/>
      <c r="G1963" s="503"/>
    </row>
    <row r="1964" spans="1:7" ht="19.899999999999999" customHeight="1">
      <c r="A1964" s="502" t="s">
        <v>711</v>
      </c>
      <c r="B1964" s="453">
        <f>Contratista</f>
        <v>0</v>
      </c>
      <c r="C1964" s="457"/>
      <c r="D1964" s="457"/>
      <c r="E1964" s="457"/>
      <c r="F1964" s="453"/>
      <c r="G1964" s="504"/>
    </row>
    <row r="1965" spans="1:7" ht="19.899999999999999" customHeight="1">
      <c r="A1965" s="502" t="s">
        <v>20</v>
      </c>
      <c r="B1965" s="453" t="str">
        <f>Obra</f>
        <v>MEJORA DE LA RED DE RIEGO DEL VALLE DE JÁCHAL</v>
      </c>
      <c r="C1965" s="457"/>
      <c r="D1965" s="457"/>
      <c r="E1965" s="457"/>
      <c r="F1965" s="453" t="s">
        <v>31</v>
      </c>
      <c r="G1965" s="504" t="str">
        <f>Fecha_Base</f>
        <v>XX/07/2020</v>
      </c>
    </row>
    <row r="1966" spans="1:7" ht="19.899999999999999" customHeight="1">
      <c r="A1966" s="505" t="s">
        <v>709</v>
      </c>
      <c r="B1966" s="458" t="str">
        <f>Ubicación</f>
        <v>JACHAL</v>
      </c>
      <c r="C1966" s="458"/>
      <c r="D1966" s="459"/>
      <c r="E1966" s="460"/>
      <c r="F1966" s="461"/>
      <c r="G1966" s="506"/>
    </row>
    <row r="1967" spans="1:7" ht="19.899999999999999" customHeight="1">
      <c r="A1967" s="505" t="s">
        <v>32</v>
      </c>
      <c r="B1967" s="462">
        <f>IFERROR(VALUE(LEFT(B1968,FIND(".",B1968)-1)),"")</f>
        <v>5</v>
      </c>
      <c r="C1967" s="163" t="str">
        <f ca="1">IFERROR(VLOOKUP(B1967,T_Computo_Presupuesto,2,FALSE),0)</f>
        <v>CANAL MATRIZ</v>
      </c>
      <c r="D1967" s="163"/>
      <c r="E1967" s="460"/>
      <c r="F1967" s="461"/>
      <c r="G1967" s="506"/>
    </row>
    <row r="1968" spans="1:7" ht="19.899999999999999" customHeight="1">
      <c r="A1968" s="505" t="s">
        <v>21</v>
      </c>
      <c r="B1968" s="463" t="str">
        <f>IFERROR(VLOOKUP(COUNTIF($A$1:A1968,"ANALISIS DE PRECIOS"),T_NumeroItem,2,FALSE),"")</f>
        <v>5.2.5</v>
      </c>
      <c r="C1968" s="690" t="str">
        <f ca="1">IFERROR(VLOOKUP(B1968,T_Computo_Presupuesto,2,FALSE),0)</f>
        <v>Relleno y compactación</v>
      </c>
      <c r="D1968" s="690"/>
      <c r="E1968" s="690"/>
      <c r="F1968" s="458" t="s">
        <v>22</v>
      </c>
      <c r="G1968" s="507" t="str">
        <f ca="1">IFERROR(VLOOKUP(B1968,T_Computo_Presupuesto,4,FALSE),0)</f>
        <v>m3</v>
      </c>
    </row>
    <row r="1969" spans="1:7" ht="19.899999999999999" customHeight="1">
      <c r="A1969" s="505"/>
      <c r="B1969" s="458"/>
      <c r="C1969" s="163"/>
      <c r="D1969" s="459"/>
      <c r="E1969" s="460"/>
      <c r="F1969" s="163"/>
      <c r="G1969" s="508"/>
    </row>
    <row r="1970" spans="1:7" ht="19.899999999999999" customHeight="1">
      <c r="A1970" s="509"/>
      <c r="B1970" s="464"/>
      <c r="C1970" s="465" t="s">
        <v>998</v>
      </c>
      <c r="D1970" s="464"/>
      <c r="E1970" s="464"/>
      <c r="F1970" s="464"/>
      <c r="G1970" s="510"/>
    </row>
    <row r="1971" spans="1:7" ht="19.899999999999999" customHeight="1">
      <c r="A1971" s="505"/>
      <c r="B1971" s="466"/>
      <c r="C1971" s="163"/>
      <c r="D1971" s="459"/>
      <c r="E1971" s="460"/>
      <c r="F1971" s="458"/>
      <c r="G1971" s="507"/>
    </row>
    <row r="1972" spans="1:7" ht="19.899999999999999" customHeight="1">
      <c r="A1972" s="505"/>
      <c r="B1972" s="466"/>
      <c r="C1972" s="467" t="s">
        <v>999</v>
      </c>
      <c r="D1972" s="468" t="s">
        <v>23</v>
      </c>
      <c r="E1972" s="468" t="s">
        <v>1000</v>
      </c>
      <c r="F1972" s="468" t="s">
        <v>1001</v>
      </c>
      <c r="G1972" s="467" t="s">
        <v>1002</v>
      </c>
    </row>
    <row r="1973" spans="1:7" ht="19.899999999999999" customHeight="1">
      <c r="A1973" s="505"/>
      <c r="B1973" s="466"/>
      <c r="C1973" s="469"/>
      <c r="D1973" s="470"/>
      <c r="E1973" s="471">
        <f t="shared" ref="E1973:E1982" si="687">IFERROR(VLOOKUP(C1973,T_Equipos,4,FALSE),0)</f>
        <v>0</v>
      </c>
      <c r="F1973" s="472">
        <f t="shared" ref="F1973:F1982" si="688">IFERROR(VLOOKUP(C1973,T_Equipos,5,FALSE),0)</f>
        <v>0</v>
      </c>
      <c r="G1973" s="472">
        <f>ROUND(D1973*F1973,2)</f>
        <v>0</v>
      </c>
    </row>
    <row r="1974" spans="1:7" ht="19.899999999999999" customHeight="1">
      <c r="A1974" s="505"/>
      <c r="B1974" s="466"/>
      <c r="C1974" s="469"/>
      <c r="D1974" s="470"/>
      <c r="E1974" s="471">
        <f t="shared" si="687"/>
        <v>0</v>
      </c>
      <c r="F1974" s="472">
        <f t="shared" si="688"/>
        <v>0</v>
      </c>
      <c r="G1974" s="472">
        <f>ROUND(D1974*F1974,2)</f>
        <v>0</v>
      </c>
    </row>
    <row r="1975" spans="1:7" ht="19.899999999999999" customHeight="1">
      <c r="A1975" s="505"/>
      <c r="B1975" s="466"/>
      <c r="C1975" s="469"/>
      <c r="D1975" s="470"/>
      <c r="E1975" s="471">
        <f t="shared" si="687"/>
        <v>0</v>
      </c>
      <c r="F1975" s="472">
        <f t="shared" si="688"/>
        <v>0</v>
      </c>
      <c r="G1975" s="472">
        <f>ROUND(D1975*F1975,2)</f>
        <v>0</v>
      </c>
    </row>
    <row r="1976" spans="1:7" ht="19.899999999999999" customHeight="1">
      <c r="A1976" s="505"/>
      <c r="B1976" s="466"/>
      <c r="C1976" s="469"/>
      <c r="D1976" s="470"/>
      <c r="E1976" s="471">
        <f t="shared" si="687"/>
        <v>0</v>
      </c>
      <c r="F1976" s="472">
        <f t="shared" si="688"/>
        <v>0</v>
      </c>
      <c r="G1976" s="472">
        <f>ROUND(D1976*F1976,2)</f>
        <v>0</v>
      </c>
    </row>
    <row r="1977" spans="1:7" ht="19.899999999999999" customHeight="1">
      <c r="A1977" s="505"/>
      <c r="B1977" s="466"/>
      <c r="C1977" s="469"/>
      <c r="D1977" s="470"/>
      <c r="E1977" s="471">
        <f t="shared" si="687"/>
        <v>0</v>
      </c>
      <c r="F1977" s="472">
        <f t="shared" si="688"/>
        <v>0</v>
      </c>
      <c r="G1977" s="472">
        <f t="shared" ref="G1977:G1982" si="689">ROUND(D1977*F1977,2)</f>
        <v>0</v>
      </c>
    </row>
    <row r="1978" spans="1:7" ht="19.899999999999999" customHeight="1">
      <c r="A1978" s="505"/>
      <c r="B1978" s="466"/>
      <c r="C1978" s="469"/>
      <c r="D1978" s="470"/>
      <c r="E1978" s="471">
        <f t="shared" si="687"/>
        <v>0</v>
      </c>
      <c r="F1978" s="472">
        <f t="shared" si="688"/>
        <v>0</v>
      </c>
      <c r="G1978" s="472">
        <f t="shared" si="689"/>
        <v>0</v>
      </c>
    </row>
    <row r="1979" spans="1:7" ht="19.899999999999999" customHeight="1">
      <c r="A1979" s="505"/>
      <c r="B1979" s="466"/>
      <c r="C1979" s="469"/>
      <c r="D1979" s="470"/>
      <c r="E1979" s="471">
        <f t="shared" si="687"/>
        <v>0</v>
      </c>
      <c r="F1979" s="472">
        <f t="shared" si="688"/>
        <v>0</v>
      </c>
      <c r="G1979" s="472">
        <f t="shared" si="689"/>
        <v>0</v>
      </c>
    </row>
    <row r="1980" spans="1:7" ht="19.899999999999999" customHeight="1">
      <c r="A1980" s="505"/>
      <c r="B1980" s="466"/>
      <c r="C1980" s="469"/>
      <c r="D1980" s="470"/>
      <c r="E1980" s="471">
        <f t="shared" si="687"/>
        <v>0</v>
      </c>
      <c r="F1980" s="472">
        <f t="shared" si="688"/>
        <v>0</v>
      </c>
      <c r="G1980" s="472">
        <f t="shared" si="689"/>
        <v>0</v>
      </c>
    </row>
    <row r="1981" spans="1:7" ht="19.899999999999999" customHeight="1">
      <c r="A1981" s="505"/>
      <c r="B1981" s="466"/>
      <c r="C1981" s="469"/>
      <c r="D1981" s="470"/>
      <c r="E1981" s="471">
        <f t="shared" si="687"/>
        <v>0</v>
      </c>
      <c r="F1981" s="472">
        <f t="shared" si="688"/>
        <v>0</v>
      </c>
      <c r="G1981" s="472">
        <f t="shared" si="689"/>
        <v>0</v>
      </c>
    </row>
    <row r="1982" spans="1:7" ht="19.899999999999999" customHeight="1">
      <c r="A1982" s="505"/>
      <c r="B1982" s="466"/>
      <c r="C1982" s="469"/>
      <c r="D1982" s="470"/>
      <c r="E1982" s="471">
        <f t="shared" si="687"/>
        <v>0</v>
      </c>
      <c r="F1982" s="472">
        <f t="shared" si="688"/>
        <v>0</v>
      </c>
      <c r="G1982" s="472">
        <f t="shared" si="689"/>
        <v>0</v>
      </c>
    </row>
    <row r="1983" spans="1:7" ht="19.899999999999999" customHeight="1">
      <c r="A1983" s="505"/>
      <c r="B1983" s="466"/>
      <c r="C1983" s="163"/>
      <c r="D1983" s="163"/>
      <c r="E1983" s="473"/>
      <c r="F1983" s="458"/>
      <c r="G1983" s="507"/>
    </row>
    <row r="1984" spans="1:7" ht="19.899999999999999" customHeight="1">
      <c r="A1984" s="505"/>
      <c r="B1984" s="163"/>
      <c r="C1984" s="455" t="s">
        <v>1003</v>
      </c>
      <c r="D1984" s="458" t="s">
        <v>1000</v>
      </c>
      <c r="E1984" s="524">
        <f>SUMPRODUCT(D1973:D1982,E1973:E1982)</f>
        <v>0</v>
      </c>
      <c r="F1984" s="458" t="s">
        <v>1004</v>
      </c>
      <c r="G1984" s="525">
        <f>SUM(G1973:G1982)</f>
        <v>0</v>
      </c>
    </row>
    <row r="1985" spans="1:7" ht="19.899999999999999" customHeight="1">
      <c r="A1985" s="505"/>
      <c r="B1985" s="466"/>
      <c r="C1985" s="474"/>
      <c r="D1985" s="473"/>
      <c r="E1985" s="460"/>
      <c r="F1985" s="458"/>
      <c r="G1985" s="511"/>
    </row>
    <row r="1986" spans="1:7" ht="19.899999999999999" customHeight="1">
      <c r="A1986" s="512"/>
      <c r="B1986" s="466"/>
      <c r="C1986" s="458" t="s">
        <v>1005</v>
      </c>
      <c r="D1986" s="475"/>
      <c r="E1986" s="476" t="str">
        <f ca="1">G1968&amp;"/día"</f>
        <v>m3/día</v>
      </c>
      <c r="F1986" s="452"/>
      <c r="G1986" s="507"/>
    </row>
    <row r="1987" spans="1:7" ht="19.899999999999999" customHeight="1">
      <c r="A1987" s="505"/>
      <c r="B1987" s="466"/>
      <c r="C1987" s="163"/>
      <c r="D1987" s="459"/>
      <c r="E1987" s="460"/>
      <c r="F1987" s="458"/>
      <c r="G1987" s="507"/>
    </row>
    <row r="1988" spans="1:7" ht="19.899999999999999" customHeight="1">
      <c r="A1988" s="677" t="s">
        <v>575</v>
      </c>
      <c r="B1988" s="678"/>
      <c r="C1988" s="679" t="s">
        <v>0</v>
      </c>
      <c r="D1988" s="691" t="s">
        <v>1864</v>
      </c>
      <c r="E1988" s="691" t="s">
        <v>1863</v>
      </c>
      <c r="F1988" s="683" t="s">
        <v>1006</v>
      </c>
      <c r="G1988" s="685" t="s">
        <v>25</v>
      </c>
    </row>
    <row r="1989" spans="1:7" ht="19.899999999999999" customHeight="1">
      <c r="A1989" s="477" t="s">
        <v>576</v>
      </c>
      <c r="B1989" s="477" t="s">
        <v>577</v>
      </c>
      <c r="C1989" s="680"/>
      <c r="D1989" s="692"/>
      <c r="E1989" s="682"/>
      <c r="F1989" s="684"/>
      <c r="G1989" s="686"/>
    </row>
    <row r="1990" spans="1:7" ht="19.899999999999999" customHeight="1">
      <c r="A1990" s="513"/>
      <c r="B1990" s="163"/>
      <c r="C1990" s="455" t="s">
        <v>1007</v>
      </c>
      <c r="D1990" s="460"/>
      <c r="E1990" s="460"/>
      <c r="F1990" s="163"/>
      <c r="G1990" s="514"/>
    </row>
    <row r="1991" spans="1:7" ht="19.899999999999999" customHeight="1">
      <c r="A1991" s="515">
        <f t="shared" ref="A1991:A1999" si="690">IFERROR(VLOOKUP(C1991,T_Insumos,4,FALSE),0)</f>
        <v>0</v>
      </c>
      <c r="B1991" s="478">
        <f t="shared" ref="B1991:B1999" si="691">IFERROR(VLOOKUP(C1991,T_Insumos,5,FALSE),0)</f>
        <v>0</v>
      </c>
      <c r="C1991" s="469"/>
      <c r="D1991" s="479">
        <f t="shared" ref="D1991:D1998" si="692">IFERROR(VLOOKUP(C1991,T_Insumos,3,FALSE),0)</f>
        <v>0</v>
      </c>
      <c r="E1991" s="472">
        <f>D1991*$G$1823</f>
        <v>0</v>
      </c>
      <c r="F1991" s="475">
        <f>+$D$1986</f>
        <v>0</v>
      </c>
      <c r="G1991" s="472">
        <f>IFERROR(ROUND(E1991/F1991,2),0)</f>
        <v>0</v>
      </c>
    </row>
    <row r="1992" spans="1:7" ht="19.899999999999999" customHeight="1">
      <c r="A1992" s="515"/>
      <c r="B1992" s="478"/>
      <c r="C1992" s="469"/>
      <c r="D1992" s="479">
        <f t="shared" si="692"/>
        <v>0</v>
      </c>
      <c r="E1992" s="472">
        <f t="shared" ref="E1992:E1999" si="693">D1992*$G$1823</f>
        <v>0</v>
      </c>
      <c r="F1992" s="475">
        <f t="shared" ref="F1992:F1994" si="694">+$D$1986</f>
        <v>0</v>
      </c>
      <c r="G1992" s="472">
        <f t="shared" ref="G1992:G1999" si="695">IFERROR(ROUND(E1992/F1992,2),0)</f>
        <v>0</v>
      </c>
    </row>
    <row r="1993" spans="1:7" ht="19.899999999999999" customHeight="1">
      <c r="A1993" s="515">
        <f t="shared" si="690"/>
        <v>0</v>
      </c>
      <c r="B1993" s="478">
        <f t="shared" si="691"/>
        <v>0</v>
      </c>
      <c r="C1993" s="480"/>
      <c r="D1993" s="479">
        <f t="shared" si="692"/>
        <v>0</v>
      </c>
      <c r="E1993" s="472">
        <f t="shared" si="693"/>
        <v>0</v>
      </c>
      <c r="F1993" s="475">
        <f t="shared" si="694"/>
        <v>0</v>
      </c>
      <c r="G1993" s="472">
        <f t="shared" si="695"/>
        <v>0</v>
      </c>
    </row>
    <row r="1994" spans="1:7" ht="19.899999999999999" customHeight="1">
      <c r="A1994" s="515">
        <f t="shared" si="690"/>
        <v>0</v>
      </c>
      <c r="B1994" s="478">
        <f t="shared" si="691"/>
        <v>0</v>
      </c>
      <c r="C1994" s="480"/>
      <c r="D1994" s="479">
        <f t="shared" si="692"/>
        <v>0</v>
      </c>
      <c r="E1994" s="472">
        <f t="shared" si="693"/>
        <v>0</v>
      </c>
      <c r="F1994" s="475">
        <f t="shared" si="694"/>
        <v>0</v>
      </c>
      <c r="G1994" s="472">
        <f t="shared" si="695"/>
        <v>0</v>
      </c>
    </row>
    <row r="1995" spans="1:7" ht="19.899999999999999" customHeight="1">
      <c r="A1995" s="515">
        <f t="shared" si="690"/>
        <v>0</v>
      </c>
      <c r="B1995" s="478">
        <f t="shared" si="691"/>
        <v>0</v>
      </c>
      <c r="C1995" s="480"/>
      <c r="D1995" s="479">
        <f t="shared" si="692"/>
        <v>0</v>
      </c>
      <c r="E1995" s="472">
        <f t="shared" si="693"/>
        <v>0</v>
      </c>
      <c r="F1995" s="475">
        <f>IF(C1995="",0,IFERROR(VLOOKUP(COUNTIF($A$1:A1995,"ANALISIS DE PRECIOS"),T_Rendimiento_Equipo,5,FALSE),0))</f>
        <v>0</v>
      </c>
      <c r="G1995" s="472">
        <f t="shared" si="695"/>
        <v>0</v>
      </c>
    </row>
    <row r="1996" spans="1:7" ht="19.899999999999999" customHeight="1">
      <c r="A1996" s="515">
        <f t="shared" si="690"/>
        <v>0</v>
      </c>
      <c r="B1996" s="478">
        <f t="shared" si="691"/>
        <v>0</v>
      </c>
      <c r="C1996" s="480"/>
      <c r="D1996" s="479">
        <f t="shared" si="692"/>
        <v>0</v>
      </c>
      <c r="E1996" s="472">
        <f t="shared" si="693"/>
        <v>0</v>
      </c>
      <c r="F1996" s="475">
        <f>IF(C1996="",0,IFERROR(VLOOKUP(COUNTIF($A$1:A1996,"ANALISIS DE PRECIOS"),T_Rendimiento_Equipo,5,FALSE),0))</f>
        <v>0</v>
      </c>
      <c r="G1996" s="472">
        <f t="shared" si="695"/>
        <v>0</v>
      </c>
    </row>
    <row r="1997" spans="1:7" ht="19.899999999999999" customHeight="1">
      <c r="A1997" s="515">
        <f t="shared" si="690"/>
        <v>0</v>
      </c>
      <c r="B1997" s="478">
        <f t="shared" si="691"/>
        <v>0</v>
      </c>
      <c r="C1997" s="480"/>
      <c r="D1997" s="479">
        <f t="shared" si="692"/>
        <v>0</v>
      </c>
      <c r="E1997" s="472">
        <f t="shared" si="693"/>
        <v>0</v>
      </c>
      <c r="F1997" s="475">
        <f>IF(C1997="",0,IFERROR(VLOOKUP(COUNTIF($A$1:A1997,"ANALISIS DE PRECIOS"),T_Rendimiento_Equipo,5,FALSE),0))</f>
        <v>0</v>
      </c>
      <c r="G1997" s="472">
        <f t="shared" si="695"/>
        <v>0</v>
      </c>
    </row>
    <row r="1998" spans="1:7" ht="19.899999999999999" customHeight="1">
      <c r="A1998" s="515">
        <f t="shared" si="690"/>
        <v>0</v>
      </c>
      <c r="B1998" s="478">
        <f t="shared" si="691"/>
        <v>0</v>
      </c>
      <c r="C1998" s="480"/>
      <c r="D1998" s="479">
        <f t="shared" si="692"/>
        <v>0</v>
      </c>
      <c r="E1998" s="472">
        <f t="shared" si="693"/>
        <v>0</v>
      </c>
      <c r="F1998" s="475">
        <f>IF(C1998="",0,IFERROR(VLOOKUP(COUNTIF($A$1:A1998,"ANALISIS DE PRECIOS"),T_Rendimiento_Equipo,5,FALSE),0))</f>
        <v>0</v>
      </c>
      <c r="G1998" s="472">
        <f t="shared" si="695"/>
        <v>0</v>
      </c>
    </row>
    <row r="1999" spans="1:7" ht="19.899999999999999" customHeight="1">
      <c r="A1999" s="515">
        <f t="shared" si="690"/>
        <v>0</v>
      </c>
      <c r="B1999" s="478">
        <f t="shared" si="691"/>
        <v>0</v>
      </c>
      <c r="C1999" s="469"/>
      <c r="D1999" s="479">
        <f t="shared" ref="D1999" si="696">IFERROR(VLOOKUP(C1999,T_Insumos,3,FALSE),0)</f>
        <v>0</v>
      </c>
      <c r="E1999" s="472">
        <f t="shared" si="693"/>
        <v>0</v>
      </c>
      <c r="F1999" s="475">
        <f>IF(C1999="",0,IFERROR(VLOOKUP(COUNTIF($A$1:A1999,"ANALISIS DE PRECIOS"),T_Rendimiento_Equipo,5,FALSE),0))</f>
        <v>0</v>
      </c>
      <c r="G1999" s="472">
        <f t="shared" si="695"/>
        <v>0</v>
      </c>
    </row>
    <row r="2000" spans="1:7" ht="19.899999999999999" customHeight="1">
      <c r="A2000" s="516"/>
      <c r="B2000" s="459"/>
      <c r="C2000" s="163"/>
      <c r="D2000" s="459"/>
      <c r="E2000" s="460"/>
      <c r="F2000" s="481" t="s">
        <v>26</v>
      </c>
      <c r="G2000" s="517">
        <f>SUBTOTAL(9,G1991:G1999)</f>
        <v>0</v>
      </c>
    </row>
    <row r="2001" spans="1:7" ht="19.899999999999999" customHeight="1">
      <c r="A2001" s="513"/>
      <c r="B2001" s="163"/>
      <c r="C2001" s="455" t="s">
        <v>712</v>
      </c>
      <c r="D2001" s="459"/>
      <c r="E2001" s="460"/>
      <c r="F2001" s="461"/>
      <c r="G2001" s="514"/>
    </row>
    <row r="2002" spans="1:7" ht="19.899999999999999" customHeight="1">
      <c r="A2002" s="677" t="s">
        <v>575</v>
      </c>
      <c r="B2002" s="678"/>
      <c r="C2002" s="679" t="s">
        <v>0</v>
      </c>
      <c r="D2002" s="681" t="s">
        <v>23</v>
      </c>
      <c r="E2002" s="681" t="s">
        <v>1830</v>
      </c>
      <c r="F2002" s="683" t="s">
        <v>1006</v>
      </c>
      <c r="G2002" s="685" t="s">
        <v>25</v>
      </c>
    </row>
    <row r="2003" spans="1:7" ht="19.899999999999999" customHeight="1">
      <c r="A2003" s="477" t="s">
        <v>576</v>
      </c>
      <c r="B2003" s="477" t="s">
        <v>577</v>
      </c>
      <c r="C2003" s="680"/>
      <c r="D2003" s="682"/>
      <c r="E2003" s="682"/>
      <c r="F2003" s="684"/>
      <c r="G2003" s="686"/>
    </row>
    <row r="2004" spans="1:7" ht="19.899999999999999" customHeight="1">
      <c r="A2004" s="515">
        <f t="shared" ref="A2004:A2009" si="697">IFERROR(VLOOKUP(C2004,T_Insumos,4,FALSE),0)</f>
        <v>0</v>
      </c>
      <c r="B2004" s="478">
        <f t="shared" ref="B2004:B2009" si="698">IFERROR(VLOOKUP(C2004,T_Insumos,5,FALSE),0)</f>
        <v>0</v>
      </c>
      <c r="C2004" s="482"/>
      <c r="D2004" s="475"/>
      <c r="E2004" s="472">
        <f t="shared" ref="E2004:E2009" si="699">IFERROR(VLOOKUP(C2004,T_Insumos,3,FALSE),0)</f>
        <v>0</v>
      </c>
      <c r="F2004" s="475">
        <f>+$D$1986</f>
        <v>0</v>
      </c>
      <c r="G2004" s="472">
        <f>IFERROR(ROUND(D2004*E2004/F2004,2),0)</f>
        <v>0</v>
      </c>
    </row>
    <row r="2005" spans="1:7" ht="19.899999999999999" customHeight="1">
      <c r="A2005" s="515">
        <f t="shared" si="697"/>
        <v>0</v>
      </c>
      <c r="B2005" s="478">
        <f t="shared" si="698"/>
        <v>0</v>
      </c>
      <c r="C2005" s="469"/>
      <c r="D2005" s="475"/>
      <c r="E2005" s="472">
        <f t="shared" si="699"/>
        <v>0</v>
      </c>
      <c r="F2005" s="475">
        <f t="shared" ref="F2005:F2009" si="700">+$D$1986</f>
        <v>0</v>
      </c>
      <c r="G2005" s="472">
        <f t="shared" ref="G2005:G2010" si="701">IFERROR(ROUND(D2005*E2005/F2005,2),0)</f>
        <v>0</v>
      </c>
    </row>
    <row r="2006" spans="1:7" ht="19.899999999999999" customHeight="1">
      <c r="A2006" s="515">
        <f t="shared" si="697"/>
        <v>0</v>
      </c>
      <c r="B2006" s="478">
        <f t="shared" si="698"/>
        <v>0</v>
      </c>
      <c r="C2006" s="469"/>
      <c r="D2006" s="475"/>
      <c r="E2006" s="472">
        <f t="shared" si="699"/>
        <v>0</v>
      </c>
      <c r="F2006" s="475">
        <f t="shared" si="700"/>
        <v>0</v>
      </c>
      <c r="G2006" s="472">
        <f t="shared" si="701"/>
        <v>0</v>
      </c>
    </row>
    <row r="2007" spans="1:7" ht="19.899999999999999" customHeight="1">
      <c r="A2007" s="515">
        <f t="shared" si="697"/>
        <v>0</v>
      </c>
      <c r="B2007" s="478">
        <f t="shared" si="698"/>
        <v>0</v>
      </c>
      <c r="C2007" s="469"/>
      <c r="D2007" s="475"/>
      <c r="E2007" s="472">
        <f t="shared" si="699"/>
        <v>0</v>
      </c>
      <c r="F2007" s="475">
        <f t="shared" si="700"/>
        <v>0</v>
      </c>
      <c r="G2007" s="472">
        <f t="shared" si="701"/>
        <v>0</v>
      </c>
    </row>
    <row r="2008" spans="1:7" ht="19.899999999999999" customHeight="1">
      <c r="A2008" s="515">
        <f t="shared" si="697"/>
        <v>0</v>
      </c>
      <c r="B2008" s="478">
        <f t="shared" si="698"/>
        <v>0</v>
      </c>
      <c r="C2008" s="469"/>
      <c r="D2008" s="475"/>
      <c r="E2008" s="472">
        <f t="shared" si="699"/>
        <v>0</v>
      </c>
      <c r="F2008" s="475">
        <f t="shared" si="700"/>
        <v>0</v>
      </c>
      <c r="G2008" s="472">
        <f t="shared" si="701"/>
        <v>0</v>
      </c>
    </row>
    <row r="2009" spans="1:7" ht="19.899999999999999" customHeight="1">
      <c r="A2009" s="515">
        <f t="shared" si="697"/>
        <v>0</v>
      </c>
      <c r="B2009" s="478">
        <f t="shared" si="698"/>
        <v>0</v>
      </c>
      <c r="C2009" s="469"/>
      <c r="D2009" s="483"/>
      <c r="E2009" s="472">
        <f t="shared" si="699"/>
        <v>0</v>
      </c>
      <c r="F2009" s="475">
        <f t="shared" si="700"/>
        <v>0</v>
      </c>
      <c r="G2009" s="472">
        <f t="shared" si="701"/>
        <v>0</v>
      </c>
    </row>
    <row r="2010" spans="1:7" ht="19.899999999999999" customHeight="1">
      <c r="A2010" s="515">
        <f t="shared" ref="A2010" si="702">IFERROR(VLOOKUP(C2010,T_Insumos,4,FALSE),0)</f>
        <v>0</v>
      </c>
      <c r="B2010" s="478">
        <f t="shared" ref="B2010" si="703">IFERROR(VLOOKUP(C2010,T_Insumos,5,FALSE),0)</f>
        <v>0</v>
      </c>
      <c r="C2010" s="478"/>
      <c r="D2010" s="484"/>
      <c r="E2010" s="472">
        <f t="shared" ref="E2010" si="704">IFERROR(VLOOKUP(C2010,T_Insumos,3,FALSE),0)</f>
        <v>0</v>
      </c>
      <c r="F2010" s="475">
        <f>IF(C2010="",0,IFERROR(VLOOKUP(COUNTIF($A$1:A2010,"ANALISIS DE PRECIOS"),T_Rendimiento_Equipo,5,FALSE),0))</f>
        <v>0</v>
      </c>
      <c r="G2010" s="472">
        <f t="shared" si="701"/>
        <v>0</v>
      </c>
    </row>
    <row r="2011" spans="1:7" ht="19.899999999999999" customHeight="1">
      <c r="A2011" s="516"/>
      <c r="B2011" s="459"/>
      <c r="C2011" s="163"/>
      <c r="D2011" s="459"/>
      <c r="E2011" s="460"/>
      <c r="F2011" s="481" t="s">
        <v>27</v>
      </c>
      <c r="G2011" s="518">
        <f>SUBTOTAL(9,G2004:G2010)</f>
        <v>0</v>
      </c>
    </row>
    <row r="2012" spans="1:7" ht="19.899999999999999" customHeight="1">
      <c r="A2012" s="513"/>
      <c r="B2012" s="163"/>
      <c r="C2012" s="455" t="s">
        <v>1013</v>
      </c>
      <c r="D2012" s="459"/>
      <c r="E2012" s="460"/>
      <c r="F2012" s="461"/>
      <c r="G2012" s="514"/>
    </row>
    <row r="2013" spans="1:7" ht="19.899999999999999" customHeight="1">
      <c r="A2013" s="677" t="s">
        <v>575</v>
      </c>
      <c r="B2013" s="678"/>
      <c r="C2013" s="679" t="s">
        <v>0</v>
      </c>
      <c r="D2013" s="679" t="s">
        <v>1865</v>
      </c>
      <c r="E2013" s="681" t="s">
        <v>23</v>
      </c>
      <c r="F2013" s="683" t="s">
        <v>24</v>
      </c>
      <c r="G2013" s="685" t="s">
        <v>25</v>
      </c>
    </row>
    <row r="2014" spans="1:7" ht="19.899999999999999" customHeight="1" thickBot="1">
      <c r="A2014" s="477" t="s">
        <v>576</v>
      </c>
      <c r="B2014" s="477" t="s">
        <v>577</v>
      </c>
      <c r="C2014" s="680"/>
      <c r="D2014" s="680"/>
      <c r="E2014" s="682"/>
      <c r="F2014" s="684"/>
      <c r="G2014" s="686"/>
    </row>
    <row r="2015" spans="1:7" ht="19.899999999999999" customHeight="1">
      <c r="A2015" s="515">
        <f t="shared" ref="A2015:A2024" si="705">IFERROR(VLOOKUP(C2015,T_Insumos,4,FALSE),0)</f>
        <v>0</v>
      </c>
      <c r="B2015" s="478">
        <f t="shared" ref="B2015:B2024" si="706">IFERROR(VLOOKUP(C2015,T_Insumos,5,FALSE),0)</f>
        <v>0</v>
      </c>
      <c r="C2015" s="478"/>
      <c r="D2015" s="526">
        <f t="shared" ref="D2015:D2024" si="707">IFERROR(VLOOKUP(C2015,T_Insumos,2,FALSE),0)</f>
        <v>0</v>
      </c>
      <c r="E2015" s="627"/>
      <c r="F2015" s="472">
        <f t="shared" ref="F2015:F2023" si="708">IFERROR(VLOOKUP(C2015,T_Insumos,3,FALSE),0)</f>
        <v>0</v>
      </c>
      <c r="G2015" s="472">
        <f>ROUND(E2015*F2015,2)</f>
        <v>0</v>
      </c>
    </row>
    <row r="2016" spans="1:7" ht="19.899999999999999" customHeight="1">
      <c r="A2016" s="515">
        <f t="shared" si="705"/>
        <v>0</v>
      </c>
      <c r="B2016" s="478">
        <f t="shared" si="706"/>
        <v>0</v>
      </c>
      <c r="C2016" s="478"/>
      <c r="D2016" s="526">
        <f t="shared" si="707"/>
        <v>0</v>
      </c>
      <c r="E2016" s="629"/>
      <c r="F2016" s="472">
        <f t="shared" si="708"/>
        <v>0</v>
      </c>
      <c r="G2016" s="472">
        <f t="shared" ref="G2016:G2025" si="709">ROUND(E2016*F2016,2)</f>
        <v>0</v>
      </c>
    </row>
    <row r="2017" spans="1:7" ht="19.899999999999999" customHeight="1">
      <c r="A2017" s="515">
        <f t="shared" si="705"/>
        <v>0</v>
      </c>
      <c r="B2017" s="478">
        <f t="shared" si="706"/>
        <v>0</v>
      </c>
      <c r="C2017" s="478"/>
      <c r="D2017" s="526">
        <f t="shared" si="707"/>
        <v>0</v>
      </c>
      <c r="E2017" s="630"/>
      <c r="F2017" s="472">
        <f t="shared" si="708"/>
        <v>0</v>
      </c>
      <c r="G2017" s="472">
        <f t="shared" si="709"/>
        <v>0</v>
      </c>
    </row>
    <row r="2018" spans="1:7" ht="19.899999999999999" customHeight="1">
      <c r="A2018" s="515">
        <f t="shared" si="705"/>
        <v>0</v>
      </c>
      <c r="B2018" s="478">
        <f t="shared" si="706"/>
        <v>0</v>
      </c>
      <c r="C2018" s="478"/>
      <c r="D2018" s="526">
        <f t="shared" si="707"/>
        <v>0</v>
      </c>
      <c r="E2018" s="628"/>
      <c r="F2018" s="472">
        <f t="shared" si="708"/>
        <v>0</v>
      </c>
      <c r="G2018" s="472">
        <f t="shared" si="709"/>
        <v>0</v>
      </c>
    </row>
    <row r="2019" spans="1:7" ht="19.899999999999999" customHeight="1">
      <c r="A2019" s="515">
        <f t="shared" si="705"/>
        <v>0</v>
      </c>
      <c r="B2019" s="478">
        <f t="shared" si="706"/>
        <v>0</v>
      </c>
      <c r="C2019" s="478"/>
      <c r="D2019" s="526">
        <f t="shared" si="707"/>
        <v>0</v>
      </c>
      <c r="E2019" s="628"/>
      <c r="F2019" s="472">
        <f t="shared" si="708"/>
        <v>0</v>
      </c>
      <c r="G2019" s="472">
        <f t="shared" si="709"/>
        <v>0</v>
      </c>
    </row>
    <row r="2020" spans="1:7" ht="19.899999999999999" customHeight="1">
      <c r="A2020" s="515">
        <f t="shared" si="705"/>
        <v>0</v>
      </c>
      <c r="B2020" s="478">
        <f t="shared" si="706"/>
        <v>0</v>
      </c>
      <c r="C2020" s="478"/>
      <c r="D2020" s="526">
        <f t="shared" si="707"/>
        <v>0</v>
      </c>
      <c r="E2020" s="628"/>
      <c r="F2020" s="472">
        <f t="shared" si="708"/>
        <v>0</v>
      </c>
      <c r="G2020" s="472">
        <f t="shared" si="709"/>
        <v>0</v>
      </c>
    </row>
    <row r="2021" spans="1:7" ht="19.899999999999999" customHeight="1">
      <c r="A2021" s="515">
        <f t="shared" si="705"/>
        <v>0</v>
      </c>
      <c r="B2021" s="478">
        <f t="shared" si="706"/>
        <v>0</v>
      </c>
      <c r="C2021" s="478"/>
      <c r="D2021" s="526">
        <f t="shared" si="707"/>
        <v>0</v>
      </c>
      <c r="E2021" s="628"/>
      <c r="F2021" s="472">
        <f t="shared" si="708"/>
        <v>0</v>
      </c>
      <c r="G2021" s="472">
        <f t="shared" si="709"/>
        <v>0</v>
      </c>
    </row>
    <row r="2022" spans="1:7" ht="19.899999999999999" customHeight="1">
      <c r="A2022" s="515">
        <f t="shared" si="705"/>
        <v>0</v>
      </c>
      <c r="B2022" s="478">
        <f t="shared" si="706"/>
        <v>0</v>
      </c>
      <c r="C2022" s="478"/>
      <c r="D2022" s="526">
        <f t="shared" si="707"/>
        <v>0</v>
      </c>
      <c r="E2022" s="631"/>
      <c r="F2022" s="472">
        <f t="shared" si="708"/>
        <v>0</v>
      </c>
      <c r="G2022" s="472">
        <f t="shared" si="709"/>
        <v>0</v>
      </c>
    </row>
    <row r="2023" spans="1:7" ht="19.899999999999999" customHeight="1">
      <c r="A2023" s="515">
        <f t="shared" si="705"/>
        <v>0</v>
      </c>
      <c r="B2023" s="478">
        <f t="shared" si="706"/>
        <v>0</v>
      </c>
      <c r="C2023" s="478"/>
      <c r="D2023" s="526">
        <f t="shared" si="707"/>
        <v>0</v>
      </c>
      <c r="E2023" s="628"/>
      <c r="F2023" s="472">
        <f t="shared" si="708"/>
        <v>0</v>
      </c>
      <c r="G2023" s="472">
        <f t="shared" si="709"/>
        <v>0</v>
      </c>
    </row>
    <row r="2024" spans="1:7" ht="19.899999999999999" customHeight="1">
      <c r="A2024" s="515">
        <f t="shared" si="705"/>
        <v>0</v>
      </c>
      <c r="B2024" s="478">
        <f t="shared" si="706"/>
        <v>0</v>
      </c>
      <c r="C2024" s="478"/>
      <c r="D2024" s="526">
        <f t="shared" si="707"/>
        <v>0</v>
      </c>
      <c r="E2024" s="470"/>
      <c r="F2024" s="472">
        <f t="shared" ref="F2024:F2025" si="710">IFERROR(VLOOKUP(C2024,T_Insumos,3,FALSE),0)</f>
        <v>0</v>
      </c>
      <c r="G2024" s="472">
        <f t="shared" si="709"/>
        <v>0</v>
      </c>
    </row>
    <row r="2025" spans="1:7" ht="19.899999999999999" customHeight="1">
      <c r="A2025" s="515">
        <f t="shared" ref="A2025" si="711">IFERROR(VLOOKUP(C2025,T_Insumos,4,FALSE),0)</f>
        <v>0</v>
      </c>
      <c r="B2025" s="478">
        <f t="shared" ref="B2025" si="712">IFERROR(VLOOKUP(C2025,T_Insumos,5,FALSE),0)</f>
        <v>0</v>
      </c>
      <c r="C2025" s="478"/>
      <c r="D2025" s="526">
        <f t="shared" ref="D2025" si="713">IFERROR(VLOOKUP(C2025,T_Insumos,2,FALSE),0)</f>
        <v>0</v>
      </c>
      <c r="E2025" s="470"/>
      <c r="F2025" s="472">
        <f t="shared" si="710"/>
        <v>0</v>
      </c>
      <c r="G2025" s="472">
        <f t="shared" si="709"/>
        <v>0</v>
      </c>
    </row>
    <row r="2026" spans="1:7" ht="19.899999999999999" customHeight="1">
      <c r="A2026" s="513"/>
      <c r="B2026" s="163"/>
      <c r="C2026" s="163"/>
      <c r="D2026" s="459"/>
      <c r="E2026" s="460"/>
      <c r="F2026" s="481" t="s">
        <v>28</v>
      </c>
      <c r="G2026" s="518">
        <f>SUBTOTAL(9,G2015:G2025)</f>
        <v>0</v>
      </c>
    </row>
    <row r="2027" spans="1:7" ht="19.899999999999999" customHeight="1">
      <c r="A2027" s="513"/>
      <c r="B2027" s="163"/>
      <c r="C2027" s="455" t="s">
        <v>1014</v>
      </c>
      <c r="D2027" s="459"/>
      <c r="E2027" s="460"/>
      <c r="F2027" s="461"/>
      <c r="G2027" s="514"/>
    </row>
    <row r="2028" spans="1:7" ht="19.899999999999999" customHeight="1">
      <c r="A2028" s="677" t="s">
        <v>575</v>
      </c>
      <c r="B2028" s="678"/>
      <c r="C2028" s="679" t="s">
        <v>0</v>
      </c>
      <c r="D2028" s="679" t="s">
        <v>1865</v>
      </c>
      <c r="E2028" s="681" t="s">
        <v>23</v>
      </c>
      <c r="F2028" s="683" t="s">
        <v>24</v>
      </c>
      <c r="G2028" s="685" t="s">
        <v>25</v>
      </c>
    </row>
    <row r="2029" spans="1:7" ht="19.899999999999999" customHeight="1">
      <c r="A2029" s="477" t="s">
        <v>576</v>
      </c>
      <c r="B2029" s="477" t="s">
        <v>577</v>
      </c>
      <c r="C2029" s="680"/>
      <c r="D2029" s="680"/>
      <c r="E2029" s="682"/>
      <c r="F2029" s="684"/>
      <c r="G2029" s="686"/>
    </row>
    <row r="2030" spans="1:7" ht="19.899999999999999" customHeight="1">
      <c r="A2030" s="515">
        <f>IFERROR(VLOOKUP(C2030,T_Insumos,4,FALSE),0)</f>
        <v>0</v>
      </c>
      <c r="B2030" s="478">
        <f>IFERROR(VLOOKUP(C2030,T_Insumos,5,FALSE),0)</f>
        <v>0</v>
      </c>
      <c r="C2030" s="469"/>
      <c r="D2030" s="526">
        <f>IF(C2030=0,0,"$/tnkm")</f>
        <v>0</v>
      </c>
      <c r="E2030" s="470"/>
      <c r="F2030" s="472">
        <f>IFERROR(VLOOKUP(C2030,T_Insumos,3,FALSE),0)</f>
        <v>0</v>
      </c>
      <c r="G2030" s="472">
        <f>ROUND(E2030*F2030,2)</f>
        <v>0</v>
      </c>
    </row>
    <row r="2031" spans="1:7" ht="19.899999999999999" customHeight="1">
      <c r="A2031" s="515">
        <f>IFERROR(VLOOKUP(C2031,T_Insumos,4,FALSE),0)</f>
        <v>0</v>
      </c>
      <c r="B2031" s="478">
        <f>IFERROR(VLOOKUP(C2031,T_Insumos,5,FALSE),0)</f>
        <v>0</v>
      </c>
      <c r="C2031" s="469"/>
      <c r="D2031" s="526">
        <f>IF(C2031=0,0,"$/tnkm")</f>
        <v>0</v>
      </c>
      <c r="E2031" s="486"/>
      <c r="F2031" s="472">
        <f>IFERROR(VLOOKUP(C2031,T_Insumos,3,FALSE),0)</f>
        <v>0</v>
      </c>
      <c r="G2031" s="472">
        <f t="shared" ref="G2031" si="714">ROUND(E2031*F2031,2)</f>
        <v>0</v>
      </c>
    </row>
    <row r="2032" spans="1:7" ht="19.899999999999999" customHeight="1">
      <c r="A2032" s="513"/>
      <c r="B2032" s="163"/>
      <c r="C2032" s="163"/>
      <c r="D2032" s="459"/>
      <c r="E2032" s="460"/>
      <c r="F2032" s="481" t="s">
        <v>1015</v>
      </c>
      <c r="G2032" s="518">
        <f>SUBTOTAL(9,G2030:G2031)</f>
        <v>0</v>
      </c>
    </row>
    <row r="2033" spans="1:7" ht="19.899999999999999" customHeight="1">
      <c r="A2033" s="516"/>
      <c r="B2033" s="459"/>
      <c r="C2033" s="163"/>
      <c r="D2033" s="459"/>
      <c r="E2033" s="460"/>
      <c r="F2033" s="461"/>
      <c r="G2033" s="514"/>
    </row>
    <row r="2034" spans="1:7" ht="19.899999999999999" customHeight="1">
      <c r="A2034" s="574" t="str">
        <f>B1968</f>
        <v>5.2.5</v>
      </c>
      <c r="B2034" s="571" t="str">
        <f ca="1">C1968</f>
        <v>Relleno y compactación</v>
      </c>
      <c r="C2034" s="459"/>
      <c r="D2034" s="459" t="s">
        <v>1831</v>
      </c>
      <c r="E2034" s="572"/>
      <c r="F2034" s="573" t="str">
        <f ca="1">"$/"&amp;G1968</f>
        <v>$/m3</v>
      </c>
      <c r="G2034" s="523">
        <f>SUBTOTAL(9,G1991:G2033)</f>
        <v>0</v>
      </c>
    </row>
    <row r="2035" spans="1:7" ht="19.899999999999999" customHeight="1">
      <c r="A2035" s="519"/>
      <c r="B2035" s="520"/>
      <c r="C2035" s="521"/>
      <c r="D2035" s="521" t="s">
        <v>2041</v>
      </c>
      <c r="E2035" s="522"/>
      <c r="F2035" s="575" t="str">
        <f ca="1">"$/"&amp;G1968</f>
        <v>$/m3</v>
      </c>
      <c r="G2035" s="523">
        <f>ROUND(G2034*Coeficiente_Paso,2)</f>
        <v>0</v>
      </c>
    </row>
    <row r="2036" spans="1:7" ht="19.899999999999999" customHeight="1">
      <c r="A2036" s="163"/>
      <c r="B2036" s="163"/>
      <c r="C2036" s="163"/>
      <c r="D2036" s="163"/>
      <c r="E2036" s="163"/>
      <c r="F2036" s="163"/>
      <c r="G2036" s="163"/>
    </row>
    <row r="2037" spans="1:7" ht="19.899999999999999" customHeight="1">
      <c r="A2037" s="687" t="s">
        <v>30</v>
      </c>
      <c r="B2037" s="688"/>
      <c r="C2037" s="688"/>
      <c r="D2037" s="688"/>
      <c r="E2037" s="688"/>
      <c r="F2037" s="688"/>
      <c r="G2037" s="689"/>
    </row>
    <row r="2038" spans="1:7" ht="19.899999999999999" customHeight="1">
      <c r="A2038" s="502" t="s">
        <v>710</v>
      </c>
      <c r="B2038" s="453" t="str">
        <f>Comitente</f>
        <v>DEPARTAMENTO DE HIDRAULICA</v>
      </c>
      <c r="C2038" s="454"/>
      <c r="D2038" s="455"/>
      <c r="E2038" s="455"/>
      <c r="F2038" s="456"/>
      <c r="G2038" s="503"/>
    </row>
    <row r="2039" spans="1:7" ht="19.899999999999999" customHeight="1">
      <c r="A2039" s="502" t="s">
        <v>711</v>
      </c>
      <c r="B2039" s="453">
        <f>Contratista</f>
        <v>0</v>
      </c>
      <c r="C2039" s="457"/>
      <c r="D2039" s="457"/>
      <c r="E2039" s="457"/>
      <c r="F2039" s="453"/>
      <c r="G2039" s="504"/>
    </row>
    <row r="2040" spans="1:7" ht="19.899999999999999" customHeight="1">
      <c r="A2040" s="502" t="s">
        <v>20</v>
      </c>
      <c r="B2040" s="453" t="str">
        <f>Obra</f>
        <v>MEJORA DE LA RED DE RIEGO DEL VALLE DE JÁCHAL</v>
      </c>
      <c r="C2040" s="457"/>
      <c r="D2040" s="457"/>
      <c r="E2040" s="457"/>
      <c r="F2040" s="453" t="s">
        <v>31</v>
      </c>
      <c r="G2040" s="504" t="str">
        <f>Fecha_Base</f>
        <v>XX/07/2020</v>
      </c>
    </row>
    <row r="2041" spans="1:7" ht="19.899999999999999" customHeight="1">
      <c r="A2041" s="505" t="s">
        <v>709</v>
      </c>
      <c r="B2041" s="458" t="str">
        <f>Ubicación</f>
        <v>JACHAL</v>
      </c>
      <c r="C2041" s="458"/>
      <c r="D2041" s="459"/>
      <c r="E2041" s="460"/>
      <c r="F2041" s="461"/>
      <c r="G2041" s="506"/>
    </row>
    <row r="2042" spans="1:7" ht="19.899999999999999" customHeight="1">
      <c r="A2042" s="505" t="s">
        <v>32</v>
      </c>
      <c r="B2042" s="462">
        <f>IFERROR(VALUE(LEFT(B2043,FIND(".",B2043)-1)),"")</f>
        <v>5</v>
      </c>
      <c r="C2042" s="163" t="str">
        <f ca="1">IFERROR(VLOOKUP(B2042,T_Computo_Presupuesto,2,FALSE),0)</f>
        <v>CANAL MATRIZ</v>
      </c>
      <c r="D2042" s="163"/>
      <c r="E2042" s="460"/>
      <c r="F2042" s="461"/>
      <c r="G2042" s="506"/>
    </row>
    <row r="2043" spans="1:7" ht="19.899999999999999" customHeight="1">
      <c r="A2043" s="505" t="s">
        <v>21</v>
      </c>
      <c r="B2043" s="463" t="str">
        <f>IFERROR(VLOOKUP(COUNTIF($A$1:A2043,"ANALISIS DE PRECIOS"),T_NumeroItem,2,FALSE),"")</f>
        <v>5.2.6</v>
      </c>
      <c r="C2043" s="690" t="str">
        <f ca="1">IFERROR(VLOOKUP(B2043,T_Computo_Presupuesto,2,FALSE),0)</f>
        <v>Geotextil</v>
      </c>
      <c r="D2043" s="690"/>
      <c r="E2043" s="690"/>
      <c r="F2043" s="458" t="s">
        <v>22</v>
      </c>
      <c r="G2043" s="507" t="str">
        <f ca="1">IFERROR(VLOOKUP(B2043,T_Computo_Presupuesto,4,FALSE),0)</f>
        <v>m2</v>
      </c>
    </row>
    <row r="2044" spans="1:7" ht="19.899999999999999" customHeight="1">
      <c r="A2044" s="505"/>
      <c r="B2044" s="458"/>
      <c r="C2044" s="163"/>
      <c r="D2044" s="459"/>
      <c r="E2044" s="460"/>
      <c r="F2044" s="163"/>
      <c r="G2044" s="508"/>
    </row>
    <row r="2045" spans="1:7" ht="19.899999999999999" customHeight="1">
      <c r="A2045" s="509"/>
      <c r="B2045" s="464"/>
      <c r="C2045" s="465" t="s">
        <v>998</v>
      </c>
      <c r="D2045" s="464"/>
      <c r="E2045" s="464"/>
      <c r="F2045" s="464"/>
      <c r="G2045" s="510"/>
    </row>
    <row r="2046" spans="1:7" ht="19.899999999999999" customHeight="1">
      <c r="A2046" s="505"/>
      <c r="B2046" s="466"/>
      <c r="C2046" s="163"/>
      <c r="D2046" s="459"/>
      <c r="E2046" s="460"/>
      <c r="F2046" s="458"/>
      <c r="G2046" s="507"/>
    </row>
    <row r="2047" spans="1:7" ht="19.899999999999999" customHeight="1">
      <c r="A2047" s="505"/>
      <c r="B2047" s="466"/>
      <c r="C2047" s="467" t="s">
        <v>999</v>
      </c>
      <c r="D2047" s="468" t="s">
        <v>23</v>
      </c>
      <c r="E2047" s="468" t="s">
        <v>1000</v>
      </c>
      <c r="F2047" s="468" t="s">
        <v>1001</v>
      </c>
      <c r="G2047" s="467" t="s">
        <v>1002</v>
      </c>
    </row>
    <row r="2048" spans="1:7" ht="19.899999999999999" customHeight="1">
      <c r="A2048" s="505"/>
      <c r="B2048" s="466"/>
      <c r="C2048" s="469"/>
      <c r="D2048" s="470"/>
      <c r="E2048" s="471">
        <f t="shared" ref="E2048:E2057" si="715">IFERROR(VLOOKUP(C2048,T_Equipos,4,FALSE),0)</f>
        <v>0</v>
      </c>
      <c r="F2048" s="472">
        <f t="shared" ref="F2048:F2057" si="716">IFERROR(VLOOKUP(C2048,T_Equipos,5,FALSE),0)</f>
        <v>0</v>
      </c>
      <c r="G2048" s="472">
        <f>ROUND(D2048*F2048,2)</f>
        <v>0</v>
      </c>
    </row>
    <row r="2049" spans="1:7" ht="19.899999999999999" customHeight="1">
      <c r="A2049" s="505"/>
      <c r="B2049" s="466"/>
      <c r="C2049" s="469"/>
      <c r="D2049" s="470"/>
      <c r="E2049" s="471">
        <f t="shared" si="715"/>
        <v>0</v>
      </c>
      <c r="F2049" s="472">
        <f t="shared" si="716"/>
        <v>0</v>
      </c>
      <c r="G2049" s="472">
        <f>ROUND(D2049*F2049,2)</f>
        <v>0</v>
      </c>
    </row>
    <row r="2050" spans="1:7" ht="19.899999999999999" customHeight="1">
      <c r="A2050" s="505"/>
      <c r="B2050" s="466"/>
      <c r="C2050" s="469"/>
      <c r="D2050" s="470"/>
      <c r="E2050" s="471">
        <f t="shared" si="715"/>
        <v>0</v>
      </c>
      <c r="F2050" s="472">
        <f t="shared" si="716"/>
        <v>0</v>
      </c>
      <c r="G2050" s="472">
        <f>ROUND(D2050*F2050,2)</f>
        <v>0</v>
      </c>
    </row>
    <row r="2051" spans="1:7" ht="19.899999999999999" customHeight="1">
      <c r="A2051" s="505"/>
      <c r="B2051" s="466"/>
      <c r="C2051" s="469"/>
      <c r="D2051" s="470"/>
      <c r="E2051" s="471">
        <f t="shared" si="715"/>
        <v>0</v>
      </c>
      <c r="F2051" s="472">
        <f t="shared" si="716"/>
        <v>0</v>
      </c>
      <c r="G2051" s="472">
        <f>ROUND(D2051*F2051,2)</f>
        <v>0</v>
      </c>
    </row>
    <row r="2052" spans="1:7" ht="19.899999999999999" customHeight="1">
      <c r="A2052" s="505"/>
      <c r="B2052" s="466"/>
      <c r="C2052" s="469"/>
      <c r="D2052" s="470"/>
      <c r="E2052" s="471">
        <f t="shared" si="715"/>
        <v>0</v>
      </c>
      <c r="F2052" s="472">
        <f t="shared" si="716"/>
        <v>0</v>
      </c>
      <c r="G2052" s="472">
        <f t="shared" ref="G2052:G2057" si="717">ROUND(D2052*F2052,2)</f>
        <v>0</v>
      </c>
    </row>
    <row r="2053" spans="1:7" ht="19.899999999999999" customHeight="1">
      <c r="A2053" s="505"/>
      <c r="B2053" s="466"/>
      <c r="C2053" s="469"/>
      <c r="D2053" s="470"/>
      <c r="E2053" s="471">
        <f t="shared" si="715"/>
        <v>0</v>
      </c>
      <c r="F2053" s="472">
        <f t="shared" si="716"/>
        <v>0</v>
      </c>
      <c r="G2053" s="472">
        <f t="shared" si="717"/>
        <v>0</v>
      </c>
    </row>
    <row r="2054" spans="1:7" ht="19.899999999999999" customHeight="1">
      <c r="A2054" s="505"/>
      <c r="B2054" s="466"/>
      <c r="C2054" s="469"/>
      <c r="D2054" s="470"/>
      <c r="E2054" s="471">
        <f t="shared" si="715"/>
        <v>0</v>
      </c>
      <c r="F2054" s="472">
        <f t="shared" si="716"/>
        <v>0</v>
      </c>
      <c r="G2054" s="472">
        <f t="shared" si="717"/>
        <v>0</v>
      </c>
    </row>
    <row r="2055" spans="1:7" ht="19.899999999999999" customHeight="1">
      <c r="A2055" s="505"/>
      <c r="B2055" s="466"/>
      <c r="C2055" s="469"/>
      <c r="D2055" s="470"/>
      <c r="E2055" s="471">
        <f t="shared" si="715"/>
        <v>0</v>
      </c>
      <c r="F2055" s="472">
        <f t="shared" si="716"/>
        <v>0</v>
      </c>
      <c r="G2055" s="472">
        <f t="shared" si="717"/>
        <v>0</v>
      </c>
    </row>
    <row r="2056" spans="1:7" ht="19.899999999999999" customHeight="1">
      <c r="A2056" s="505"/>
      <c r="B2056" s="466"/>
      <c r="C2056" s="469"/>
      <c r="D2056" s="470"/>
      <c r="E2056" s="471">
        <f t="shared" si="715"/>
        <v>0</v>
      </c>
      <c r="F2056" s="472">
        <f t="shared" si="716"/>
        <v>0</v>
      </c>
      <c r="G2056" s="472">
        <f t="shared" si="717"/>
        <v>0</v>
      </c>
    </row>
    <row r="2057" spans="1:7" ht="19.899999999999999" customHeight="1">
      <c r="A2057" s="505"/>
      <c r="B2057" s="466"/>
      <c r="C2057" s="469"/>
      <c r="D2057" s="470"/>
      <c r="E2057" s="471">
        <f t="shared" si="715"/>
        <v>0</v>
      </c>
      <c r="F2057" s="472">
        <f t="shared" si="716"/>
        <v>0</v>
      </c>
      <c r="G2057" s="472">
        <f t="shared" si="717"/>
        <v>0</v>
      </c>
    </row>
    <row r="2058" spans="1:7" ht="19.899999999999999" customHeight="1">
      <c r="A2058" s="505"/>
      <c r="B2058" s="466"/>
      <c r="C2058" s="163"/>
      <c r="D2058" s="163"/>
      <c r="E2058" s="473"/>
      <c r="F2058" s="458"/>
      <c r="G2058" s="507"/>
    </row>
    <row r="2059" spans="1:7" ht="19.899999999999999" customHeight="1">
      <c r="A2059" s="505"/>
      <c r="B2059" s="163"/>
      <c r="C2059" s="455" t="s">
        <v>1003</v>
      </c>
      <c r="D2059" s="458" t="s">
        <v>1000</v>
      </c>
      <c r="E2059" s="524">
        <f>SUMPRODUCT(D2048:D2057,E2048:E2057)</f>
        <v>0</v>
      </c>
      <c r="F2059" s="458" t="s">
        <v>1004</v>
      </c>
      <c r="G2059" s="525">
        <f>SUM(G2048:G2057)</f>
        <v>0</v>
      </c>
    </row>
    <row r="2060" spans="1:7" ht="19.899999999999999" customHeight="1">
      <c r="A2060" s="505"/>
      <c r="B2060" s="466"/>
      <c r="C2060" s="474"/>
      <c r="D2060" s="473"/>
      <c r="E2060" s="460"/>
      <c r="F2060" s="458"/>
      <c r="G2060" s="511"/>
    </row>
    <row r="2061" spans="1:7" ht="19.899999999999999" customHeight="1">
      <c r="A2061" s="512"/>
      <c r="B2061" s="466"/>
      <c r="C2061" s="458" t="s">
        <v>1005</v>
      </c>
      <c r="D2061" s="475"/>
      <c r="E2061" s="476" t="str">
        <f ca="1">G2043&amp;"/día"</f>
        <v>m2/día</v>
      </c>
      <c r="F2061" s="452"/>
      <c r="G2061" s="507"/>
    </row>
    <row r="2062" spans="1:7" ht="19.899999999999999" customHeight="1">
      <c r="A2062" s="505"/>
      <c r="B2062" s="466"/>
      <c r="C2062" s="163"/>
      <c r="D2062" s="459"/>
      <c r="E2062" s="460"/>
      <c r="F2062" s="458"/>
      <c r="G2062" s="507"/>
    </row>
    <row r="2063" spans="1:7" ht="19.899999999999999" customHeight="1">
      <c r="A2063" s="677" t="s">
        <v>575</v>
      </c>
      <c r="B2063" s="678"/>
      <c r="C2063" s="679" t="s">
        <v>0</v>
      </c>
      <c r="D2063" s="691" t="s">
        <v>1864</v>
      </c>
      <c r="E2063" s="691" t="s">
        <v>1863</v>
      </c>
      <c r="F2063" s="683" t="s">
        <v>1006</v>
      </c>
      <c r="G2063" s="685" t="s">
        <v>25</v>
      </c>
    </row>
    <row r="2064" spans="1:7" ht="19.899999999999999" customHeight="1">
      <c r="A2064" s="477" t="s">
        <v>576</v>
      </c>
      <c r="B2064" s="477" t="s">
        <v>577</v>
      </c>
      <c r="C2064" s="680"/>
      <c r="D2064" s="692"/>
      <c r="E2064" s="682"/>
      <c r="F2064" s="684"/>
      <c r="G2064" s="686"/>
    </row>
    <row r="2065" spans="1:7" ht="19.899999999999999" customHeight="1">
      <c r="A2065" s="513"/>
      <c r="B2065" s="163"/>
      <c r="C2065" s="455" t="s">
        <v>1007</v>
      </c>
      <c r="D2065" s="460"/>
      <c r="E2065" s="460"/>
      <c r="F2065" s="163"/>
      <c r="G2065" s="514"/>
    </row>
    <row r="2066" spans="1:7" ht="19.899999999999999" customHeight="1">
      <c r="A2066" s="515">
        <f t="shared" ref="A2066:A2073" si="718">IFERROR(VLOOKUP(C2066,T_Insumos,4,FALSE),0)</f>
        <v>0</v>
      </c>
      <c r="B2066" s="478">
        <f t="shared" ref="B2066:B2073" si="719">IFERROR(VLOOKUP(C2066,T_Insumos,5,FALSE),0)</f>
        <v>0</v>
      </c>
      <c r="C2066" s="469"/>
      <c r="D2066" s="479">
        <f t="shared" ref="D2066:D2073" si="720">IFERROR(VLOOKUP(C2066,T_Insumos,3,FALSE),0)</f>
        <v>0</v>
      </c>
      <c r="E2066" s="472">
        <f>D2066*$G$1823</f>
        <v>0</v>
      </c>
      <c r="F2066" s="475">
        <f>IF(C2066="",0,IFERROR(VLOOKUP(COUNTIF($A$1:A2066,"ANALISIS DE PRECIOS"),T_Rendimiento_Equipo,5,FALSE),0))</f>
        <v>0</v>
      </c>
      <c r="G2066" s="472">
        <f>IFERROR(ROUND(E2066/F2066,2),0)</f>
        <v>0</v>
      </c>
    </row>
    <row r="2067" spans="1:7" ht="19.899999999999999" customHeight="1">
      <c r="A2067" s="515">
        <f t="shared" si="718"/>
        <v>0</v>
      </c>
      <c r="B2067" s="478">
        <f t="shared" si="719"/>
        <v>0</v>
      </c>
      <c r="C2067" s="469"/>
      <c r="D2067" s="479">
        <f t="shared" si="720"/>
        <v>0</v>
      </c>
      <c r="E2067" s="472">
        <f t="shared" ref="E2067:E2074" si="721">D2067*$G$1823</f>
        <v>0</v>
      </c>
      <c r="F2067" s="475">
        <f>IF(C2067="",0,IFERROR(VLOOKUP(COUNTIF($A$1:A2067,"ANALISIS DE PRECIOS"),T_Rendimiento_Equipo,5,FALSE),0))</f>
        <v>0</v>
      </c>
      <c r="G2067" s="472">
        <f t="shared" ref="G2067:G2074" si="722">IFERROR(ROUND(E2067/F2067,2),0)</f>
        <v>0</v>
      </c>
    </row>
    <row r="2068" spans="1:7" ht="19.899999999999999" customHeight="1">
      <c r="A2068" s="515">
        <f t="shared" si="718"/>
        <v>0</v>
      </c>
      <c r="B2068" s="478">
        <f t="shared" si="719"/>
        <v>0</v>
      </c>
      <c r="C2068" s="480"/>
      <c r="D2068" s="479">
        <f t="shared" si="720"/>
        <v>0</v>
      </c>
      <c r="E2068" s="472">
        <f t="shared" si="721"/>
        <v>0</v>
      </c>
      <c r="F2068" s="475">
        <f>IF(C2068="",0,IFERROR(VLOOKUP(COUNTIF($A$1:A2068,"ANALISIS DE PRECIOS"),T_Rendimiento_Equipo,5,FALSE),0))</f>
        <v>0</v>
      </c>
      <c r="G2068" s="472">
        <f t="shared" si="722"/>
        <v>0</v>
      </c>
    </row>
    <row r="2069" spans="1:7" ht="19.899999999999999" customHeight="1">
      <c r="A2069" s="515">
        <f t="shared" si="718"/>
        <v>0</v>
      </c>
      <c r="B2069" s="478">
        <f t="shared" si="719"/>
        <v>0</v>
      </c>
      <c r="C2069" s="480"/>
      <c r="D2069" s="479">
        <f t="shared" si="720"/>
        <v>0</v>
      </c>
      <c r="E2069" s="472">
        <f t="shared" si="721"/>
        <v>0</v>
      </c>
      <c r="F2069" s="475">
        <f>IF(C2069="",0,IFERROR(VLOOKUP(COUNTIF($A$1:A2069,"ANALISIS DE PRECIOS"),T_Rendimiento_Equipo,5,FALSE),0))</f>
        <v>0</v>
      </c>
      <c r="G2069" s="472">
        <f t="shared" si="722"/>
        <v>0</v>
      </c>
    </row>
    <row r="2070" spans="1:7" ht="19.899999999999999" customHeight="1">
      <c r="A2070" s="515">
        <f t="shared" si="718"/>
        <v>0</v>
      </c>
      <c r="B2070" s="478">
        <f t="shared" si="719"/>
        <v>0</v>
      </c>
      <c r="C2070" s="480"/>
      <c r="D2070" s="479">
        <f t="shared" si="720"/>
        <v>0</v>
      </c>
      <c r="E2070" s="472">
        <f t="shared" si="721"/>
        <v>0</v>
      </c>
      <c r="F2070" s="475">
        <f>IF(C2070="",0,IFERROR(VLOOKUP(COUNTIF($A$1:A2070,"ANALISIS DE PRECIOS"),T_Rendimiento_Equipo,5,FALSE),0))</f>
        <v>0</v>
      </c>
      <c r="G2070" s="472">
        <f t="shared" si="722"/>
        <v>0</v>
      </c>
    </row>
    <row r="2071" spans="1:7" ht="19.899999999999999" customHeight="1">
      <c r="A2071" s="515">
        <f t="shared" si="718"/>
        <v>0</v>
      </c>
      <c r="B2071" s="478">
        <f t="shared" si="719"/>
        <v>0</v>
      </c>
      <c r="C2071" s="480"/>
      <c r="D2071" s="479">
        <f t="shared" si="720"/>
        <v>0</v>
      </c>
      <c r="E2071" s="472">
        <f t="shared" si="721"/>
        <v>0</v>
      </c>
      <c r="F2071" s="475">
        <f>IF(C2071="",0,IFERROR(VLOOKUP(COUNTIF($A$1:A2071,"ANALISIS DE PRECIOS"),T_Rendimiento_Equipo,5,FALSE),0))</f>
        <v>0</v>
      </c>
      <c r="G2071" s="472">
        <f t="shared" si="722"/>
        <v>0</v>
      </c>
    </row>
    <row r="2072" spans="1:7" ht="19.899999999999999" customHeight="1">
      <c r="A2072" s="515">
        <f t="shared" si="718"/>
        <v>0</v>
      </c>
      <c r="B2072" s="478">
        <f t="shared" si="719"/>
        <v>0</v>
      </c>
      <c r="C2072" s="480"/>
      <c r="D2072" s="479">
        <f t="shared" si="720"/>
        <v>0</v>
      </c>
      <c r="E2072" s="472">
        <f t="shared" si="721"/>
        <v>0</v>
      </c>
      <c r="F2072" s="475">
        <f>IF(C2072="",0,IFERROR(VLOOKUP(COUNTIF($A$1:A2072,"ANALISIS DE PRECIOS"),T_Rendimiento_Equipo,5,FALSE),0))</f>
        <v>0</v>
      </c>
      <c r="G2072" s="472">
        <f t="shared" si="722"/>
        <v>0</v>
      </c>
    </row>
    <row r="2073" spans="1:7" ht="19.899999999999999" customHeight="1">
      <c r="A2073" s="515">
        <f t="shared" si="718"/>
        <v>0</v>
      </c>
      <c r="B2073" s="478">
        <f t="shared" si="719"/>
        <v>0</v>
      </c>
      <c r="C2073" s="480"/>
      <c r="D2073" s="479">
        <f t="shared" si="720"/>
        <v>0</v>
      </c>
      <c r="E2073" s="472">
        <f t="shared" si="721"/>
        <v>0</v>
      </c>
      <c r="F2073" s="475">
        <f>IF(C2073="",0,IFERROR(VLOOKUP(COUNTIF($A$1:A2073,"ANALISIS DE PRECIOS"),T_Rendimiento_Equipo,5,FALSE),0))</f>
        <v>0</v>
      </c>
      <c r="G2073" s="472">
        <f t="shared" si="722"/>
        <v>0</v>
      </c>
    </row>
    <row r="2074" spans="1:7" ht="19.899999999999999" customHeight="1">
      <c r="A2074" s="515">
        <f t="shared" ref="A2074" si="723">IFERROR(VLOOKUP(C2074,T_Insumos,4,FALSE),0)</f>
        <v>0</v>
      </c>
      <c r="B2074" s="478">
        <f t="shared" ref="B2074" si="724">IFERROR(VLOOKUP(C2074,T_Insumos,5,FALSE),0)</f>
        <v>0</v>
      </c>
      <c r="C2074" s="469"/>
      <c r="D2074" s="479">
        <f t="shared" ref="D2074" si="725">IFERROR(VLOOKUP(C2074,T_Insumos,3,FALSE),0)</f>
        <v>0</v>
      </c>
      <c r="E2074" s="472">
        <f t="shared" si="721"/>
        <v>0</v>
      </c>
      <c r="F2074" s="475">
        <f>IF(C2074="",0,IFERROR(VLOOKUP(COUNTIF($A$1:A2074,"ANALISIS DE PRECIOS"),T_Rendimiento_Equipo,5,FALSE),0))</f>
        <v>0</v>
      </c>
      <c r="G2074" s="472">
        <f t="shared" si="722"/>
        <v>0</v>
      </c>
    </row>
    <row r="2075" spans="1:7" ht="19.899999999999999" customHeight="1">
      <c r="A2075" s="516"/>
      <c r="B2075" s="459"/>
      <c r="C2075" s="163"/>
      <c r="D2075" s="459"/>
      <c r="E2075" s="460"/>
      <c r="F2075" s="481" t="s">
        <v>26</v>
      </c>
      <c r="G2075" s="517">
        <f>SUBTOTAL(9,G2066:G2074)</f>
        <v>0</v>
      </c>
    </row>
    <row r="2076" spans="1:7" ht="19.899999999999999" customHeight="1">
      <c r="A2076" s="513"/>
      <c r="B2076" s="163"/>
      <c r="C2076" s="455" t="s">
        <v>712</v>
      </c>
      <c r="D2076" s="459"/>
      <c r="E2076" s="460"/>
      <c r="F2076" s="461"/>
      <c r="G2076" s="514"/>
    </row>
    <row r="2077" spans="1:7" ht="19.899999999999999" customHeight="1">
      <c r="A2077" s="677" t="s">
        <v>575</v>
      </c>
      <c r="B2077" s="678"/>
      <c r="C2077" s="679" t="s">
        <v>0</v>
      </c>
      <c r="D2077" s="681" t="s">
        <v>23</v>
      </c>
      <c r="E2077" s="681" t="s">
        <v>1830</v>
      </c>
      <c r="F2077" s="683" t="s">
        <v>1006</v>
      </c>
      <c r="G2077" s="685" t="s">
        <v>25</v>
      </c>
    </row>
    <row r="2078" spans="1:7" ht="19.899999999999999" customHeight="1">
      <c r="A2078" s="477" t="s">
        <v>576</v>
      </c>
      <c r="B2078" s="477" t="s">
        <v>577</v>
      </c>
      <c r="C2078" s="680"/>
      <c r="D2078" s="682"/>
      <c r="E2078" s="682"/>
      <c r="F2078" s="684"/>
      <c r="G2078" s="686"/>
    </row>
    <row r="2079" spans="1:7" ht="19.899999999999999" customHeight="1">
      <c r="A2079" s="515">
        <f t="shared" ref="A2079:A2084" si="726">IFERROR(VLOOKUP(C2079,T_Insumos,4,FALSE),0)</f>
        <v>0</v>
      </c>
      <c r="B2079" s="478">
        <f t="shared" ref="B2079:B2084" si="727">IFERROR(VLOOKUP(C2079,T_Insumos,5,FALSE),0)</f>
        <v>0</v>
      </c>
      <c r="C2079" s="482"/>
      <c r="D2079" s="475"/>
      <c r="E2079" s="472">
        <f t="shared" ref="E2079:E2084" si="728">IFERROR(VLOOKUP(C2079,T_Insumos,3,FALSE),0)</f>
        <v>0</v>
      </c>
      <c r="F2079" s="475">
        <f>+$D$2061</f>
        <v>0</v>
      </c>
      <c r="G2079" s="472">
        <f>IFERROR(ROUND(D2079*E2079/F2079,2),0)</f>
        <v>0</v>
      </c>
    </row>
    <row r="2080" spans="1:7" ht="19.899999999999999" customHeight="1">
      <c r="A2080" s="515">
        <f t="shared" si="726"/>
        <v>0</v>
      </c>
      <c r="B2080" s="478">
        <f t="shared" si="727"/>
        <v>0</v>
      </c>
      <c r="C2080" s="469"/>
      <c r="D2080" s="475"/>
      <c r="E2080" s="472">
        <f t="shared" si="728"/>
        <v>0</v>
      </c>
      <c r="F2080" s="475">
        <f t="shared" ref="F2080:F2084" si="729">+$D$2061</f>
        <v>0</v>
      </c>
      <c r="G2080" s="472">
        <f t="shared" ref="G2080:G2084" si="730">IFERROR(ROUND(D2080*E2080/F2080,2),0)</f>
        <v>0</v>
      </c>
    </row>
    <row r="2081" spans="1:7" ht="19.899999999999999" customHeight="1">
      <c r="A2081" s="515">
        <f t="shared" si="726"/>
        <v>0</v>
      </c>
      <c r="B2081" s="478">
        <f t="shared" si="727"/>
        <v>0</v>
      </c>
      <c r="C2081" s="469"/>
      <c r="D2081" s="475"/>
      <c r="E2081" s="472">
        <f t="shared" si="728"/>
        <v>0</v>
      </c>
      <c r="F2081" s="475">
        <f t="shared" si="729"/>
        <v>0</v>
      </c>
      <c r="G2081" s="472">
        <f t="shared" si="730"/>
        <v>0</v>
      </c>
    </row>
    <row r="2082" spans="1:7" ht="19.899999999999999" customHeight="1">
      <c r="A2082" s="515">
        <f t="shared" si="726"/>
        <v>0</v>
      </c>
      <c r="B2082" s="478">
        <f t="shared" si="727"/>
        <v>0</v>
      </c>
      <c r="C2082" s="469"/>
      <c r="D2082" s="475"/>
      <c r="E2082" s="472">
        <f t="shared" si="728"/>
        <v>0</v>
      </c>
      <c r="F2082" s="475">
        <f t="shared" si="729"/>
        <v>0</v>
      </c>
      <c r="G2082" s="472">
        <f t="shared" si="730"/>
        <v>0</v>
      </c>
    </row>
    <row r="2083" spans="1:7" ht="19.899999999999999" customHeight="1">
      <c r="A2083" s="515">
        <f t="shared" si="726"/>
        <v>0</v>
      </c>
      <c r="B2083" s="478">
        <f t="shared" si="727"/>
        <v>0</v>
      </c>
      <c r="C2083" s="469"/>
      <c r="D2083" s="475"/>
      <c r="E2083" s="472">
        <f t="shared" si="728"/>
        <v>0</v>
      </c>
      <c r="F2083" s="475"/>
      <c r="G2083" s="472">
        <f t="shared" si="730"/>
        <v>0</v>
      </c>
    </row>
    <row r="2084" spans="1:7" ht="19.899999999999999" customHeight="1">
      <c r="A2084" s="515">
        <f t="shared" si="726"/>
        <v>0</v>
      </c>
      <c r="B2084" s="478">
        <f t="shared" si="727"/>
        <v>0</v>
      </c>
      <c r="C2084" s="469"/>
      <c r="D2084" s="483"/>
      <c r="E2084" s="472">
        <f t="shared" si="728"/>
        <v>0</v>
      </c>
      <c r="F2084" s="475">
        <f t="shared" si="729"/>
        <v>0</v>
      </c>
      <c r="G2084" s="472">
        <f t="shared" si="730"/>
        <v>0</v>
      </c>
    </row>
    <row r="2085" spans="1:7" ht="19.899999999999999" customHeight="1">
      <c r="A2085" s="515">
        <f t="shared" ref="A2085" si="731">IFERROR(VLOOKUP(C2085,T_Insumos,4,FALSE),0)</f>
        <v>0</v>
      </c>
      <c r="B2085" s="478">
        <f t="shared" ref="B2085" si="732">IFERROR(VLOOKUP(C2085,T_Insumos,5,FALSE),0)</f>
        <v>0</v>
      </c>
      <c r="C2085" s="478"/>
      <c r="D2085" s="484"/>
      <c r="E2085" s="472">
        <f t="shared" ref="E2085" si="733">IFERROR(VLOOKUP(C2085,T_Insumos,3,FALSE),0)</f>
        <v>0</v>
      </c>
      <c r="F2085" s="475">
        <f>IF(C2085="",0,IFERROR(VLOOKUP(COUNTIF($A$1:A2085,"ANALISIS DE PRECIOS"),T_Rendimiento_Equipo,5,FALSE),0))</f>
        <v>0</v>
      </c>
      <c r="G2085" s="472">
        <f t="shared" ref="G2085" si="734">IFERROR(ROUND(D2085*E2085/F2085,2),0)</f>
        <v>0</v>
      </c>
    </row>
    <row r="2086" spans="1:7" ht="19.899999999999999" customHeight="1">
      <c r="A2086" s="516"/>
      <c r="B2086" s="459"/>
      <c r="C2086" s="163"/>
      <c r="D2086" s="459"/>
      <c r="E2086" s="460"/>
      <c r="F2086" s="481" t="s">
        <v>27</v>
      </c>
      <c r="G2086" s="518">
        <f>SUBTOTAL(9,G2079:G2085)</f>
        <v>0</v>
      </c>
    </row>
    <row r="2087" spans="1:7" ht="19.899999999999999" customHeight="1">
      <c r="A2087" s="513"/>
      <c r="B2087" s="163"/>
      <c r="C2087" s="455" t="s">
        <v>1013</v>
      </c>
      <c r="D2087" s="459"/>
      <c r="E2087" s="460"/>
      <c r="F2087" s="461"/>
      <c r="G2087" s="514"/>
    </row>
    <row r="2088" spans="1:7" ht="19.899999999999999" customHeight="1">
      <c r="A2088" s="677" t="s">
        <v>575</v>
      </c>
      <c r="B2088" s="678"/>
      <c r="C2088" s="679" t="s">
        <v>0</v>
      </c>
      <c r="D2088" s="679" t="s">
        <v>1865</v>
      </c>
      <c r="E2088" s="681" t="s">
        <v>23</v>
      </c>
      <c r="F2088" s="683" t="s">
        <v>24</v>
      </c>
      <c r="G2088" s="685" t="s">
        <v>25</v>
      </c>
    </row>
    <row r="2089" spans="1:7" ht="19.899999999999999" customHeight="1">
      <c r="A2089" s="477" t="s">
        <v>576</v>
      </c>
      <c r="B2089" s="477" t="s">
        <v>577</v>
      </c>
      <c r="C2089" s="680"/>
      <c r="D2089" s="680"/>
      <c r="E2089" s="682"/>
      <c r="F2089" s="684"/>
      <c r="G2089" s="686"/>
    </row>
    <row r="2090" spans="1:7" ht="19.899999999999999" customHeight="1">
      <c r="A2090" s="515">
        <f t="shared" ref="A2090:A2102" si="735">IFERROR(VLOOKUP(C2090,T_Insumos,4,FALSE),0)</f>
        <v>0</v>
      </c>
      <c r="B2090" s="478">
        <f t="shared" ref="B2090:B2102" si="736">IFERROR(VLOOKUP(C2090,T_Insumos,5,FALSE),0)</f>
        <v>0</v>
      </c>
      <c r="C2090" s="478"/>
      <c r="D2090" s="526">
        <f t="shared" ref="D2090:D2102" si="737">IFERROR(VLOOKUP(C2090,T_Insumos,2,FALSE),0)</f>
        <v>0</v>
      </c>
      <c r="E2090" s="634"/>
      <c r="F2090" s="472">
        <f t="shared" ref="F2090:F2102" si="738">IFERROR(VLOOKUP(C2090,T_Insumos,3,FALSE),0)</f>
        <v>0</v>
      </c>
      <c r="G2090" s="472">
        <f>ROUND(E2090*F2090,2)</f>
        <v>0</v>
      </c>
    </row>
    <row r="2091" spans="1:7" ht="19.899999999999999" customHeight="1">
      <c r="A2091" s="515">
        <f t="shared" si="735"/>
        <v>0</v>
      </c>
      <c r="B2091" s="478">
        <f t="shared" si="736"/>
        <v>0</v>
      </c>
      <c r="C2091" s="478"/>
      <c r="D2091" s="526">
        <f t="shared" si="737"/>
        <v>0</v>
      </c>
      <c r="E2091" s="633"/>
      <c r="F2091" s="472">
        <f t="shared" si="738"/>
        <v>0</v>
      </c>
      <c r="G2091" s="472">
        <f t="shared" ref="G2091:G2101" si="739">ROUND(E2091*F2091,2)</f>
        <v>0</v>
      </c>
    </row>
    <row r="2092" spans="1:7" ht="19.899999999999999" customHeight="1">
      <c r="A2092" s="515">
        <f t="shared" si="735"/>
        <v>0</v>
      </c>
      <c r="B2092" s="478">
        <f t="shared" si="736"/>
        <v>0</v>
      </c>
      <c r="C2092" s="478"/>
      <c r="D2092" s="526">
        <f t="shared" si="737"/>
        <v>0</v>
      </c>
      <c r="E2092" s="633"/>
      <c r="F2092" s="472">
        <f t="shared" si="738"/>
        <v>0</v>
      </c>
      <c r="G2092" s="472">
        <f t="shared" si="739"/>
        <v>0</v>
      </c>
    </row>
    <row r="2093" spans="1:7" ht="19.899999999999999" customHeight="1">
      <c r="A2093" s="515">
        <f t="shared" si="735"/>
        <v>0</v>
      </c>
      <c r="B2093" s="478">
        <f t="shared" si="736"/>
        <v>0</v>
      </c>
      <c r="C2093" s="478"/>
      <c r="D2093" s="526">
        <f t="shared" si="737"/>
        <v>0</v>
      </c>
      <c r="E2093" s="633"/>
      <c r="F2093" s="472">
        <f t="shared" si="738"/>
        <v>0</v>
      </c>
      <c r="G2093" s="472">
        <f t="shared" si="739"/>
        <v>0</v>
      </c>
    </row>
    <row r="2094" spans="1:7" ht="19.899999999999999" customHeight="1">
      <c r="A2094" s="515">
        <f t="shared" si="735"/>
        <v>0</v>
      </c>
      <c r="B2094" s="478">
        <f t="shared" si="736"/>
        <v>0</v>
      </c>
      <c r="C2094" s="478"/>
      <c r="D2094" s="526">
        <f t="shared" si="737"/>
        <v>0</v>
      </c>
      <c r="E2094" s="633"/>
      <c r="F2094" s="472">
        <f t="shared" si="738"/>
        <v>0</v>
      </c>
      <c r="G2094" s="472">
        <f t="shared" si="739"/>
        <v>0</v>
      </c>
    </row>
    <row r="2095" spans="1:7" ht="19.899999999999999" customHeight="1">
      <c r="A2095" s="515">
        <f t="shared" si="735"/>
        <v>0</v>
      </c>
      <c r="B2095" s="478">
        <f t="shared" si="736"/>
        <v>0</v>
      </c>
      <c r="C2095" s="478"/>
      <c r="D2095" s="526">
        <f t="shared" si="737"/>
        <v>0</v>
      </c>
      <c r="E2095" s="633"/>
      <c r="F2095" s="472">
        <f t="shared" si="738"/>
        <v>0</v>
      </c>
      <c r="G2095" s="472">
        <f t="shared" si="739"/>
        <v>0</v>
      </c>
    </row>
    <row r="2096" spans="1:7" ht="19.899999999999999" customHeight="1">
      <c r="A2096" s="515">
        <f t="shared" si="735"/>
        <v>0</v>
      </c>
      <c r="B2096" s="478">
        <f t="shared" si="736"/>
        <v>0</v>
      </c>
      <c r="C2096" s="478"/>
      <c r="D2096" s="526">
        <f t="shared" si="737"/>
        <v>0</v>
      </c>
      <c r="E2096" s="633"/>
      <c r="F2096" s="472">
        <f t="shared" si="738"/>
        <v>0</v>
      </c>
      <c r="G2096" s="472">
        <f t="shared" si="739"/>
        <v>0</v>
      </c>
    </row>
    <row r="2097" spans="1:7" ht="19.899999999999999" customHeight="1">
      <c r="A2097" s="515">
        <f t="shared" si="735"/>
        <v>0</v>
      </c>
      <c r="B2097" s="478">
        <f t="shared" si="736"/>
        <v>0</v>
      </c>
      <c r="C2097" s="478"/>
      <c r="D2097" s="526">
        <f t="shared" si="737"/>
        <v>0</v>
      </c>
      <c r="E2097" s="632"/>
      <c r="F2097" s="472">
        <f t="shared" si="738"/>
        <v>0</v>
      </c>
      <c r="G2097" s="472">
        <f t="shared" si="739"/>
        <v>0</v>
      </c>
    </row>
    <row r="2098" spans="1:7" ht="19.899999999999999" customHeight="1">
      <c r="A2098" s="515">
        <f t="shared" si="735"/>
        <v>0</v>
      </c>
      <c r="B2098" s="478">
        <f t="shared" si="736"/>
        <v>0</v>
      </c>
      <c r="C2098" s="478"/>
      <c r="D2098" s="526">
        <f t="shared" si="737"/>
        <v>0</v>
      </c>
      <c r="E2098" s="632"/>
      <c r="F2098" s="472">
        <f t="shared" si="738"/>
        <v>0</v>
      </c>
      <c r="G2098" s="472">
        <f t="shared" si="739"/>
        <v>0</v>
      </c>
    </row>
    <row r="2099" spans="1:7" ht="19.899999999999999" customHeight="1">
      <c r="A2099" s="515">
        <f t="shared" si="735"/>
        <v>0</v>
      </c>
      <c r="B2099" s="478">
        <f t="shared" si="736"/>
        <v>0</v>
      </c>
      <c r="C2099" s="478"/>
      <c r="D2099" s="526">
        <f t="shared" si="737"/>
        <v>0</v>
      </c>
      <c r="E2099" s="632"/>
      <c r="F2099" s="472">
        <f t="shared" si="738"/>
        <v>0</v>
      </c>
      <c r="G2099" s="472">
        <f t="shared" si="739"/>
        <v>0</v>
      </c>
    </row>
    <row r="2100" spans="1:7" ht="19.899999999999999" customHeight="1">
      <c r="A2100" s="515">
        <f t="shared" si="735"/>
        <v>0</v>
      </c>
      <c r="B2100" s="478">
        <f t="shared" si="736"/>
        <v>0</v>
      </c>
      <c r="C2100" s="478"/>
      <c r="D2100" s="526">
        <f t="shared" si="737"/>
        <v>0</v>
      </c>
      <c r="E2100" s="632"/>
      <c r="F2100" s="472">
        <f t="shared" si="738"/>
        <v>0</v>
      </c>
      <c r="G2100" s="472">
        <f t="shared" si="739"/>
        <v>0</v>
      </c>
    </row>
    <row r="2101" spans="1:7" ht="19.899999999999999" customHeight="1">
      <c r="A2101" s="515">
        <f t="shared" si="735"/>
        <v>0</v>
      </c>
      <c r="B2101" s="478">
        <f t="shared" si="736"/>
        <v>0</v>
      </c>
      <c r="C2101" s="478"/>
      <c r="D2101" s="526">
        <f t="shared" si="737"/>
        <v>0</v>
      </c>
      <c r="E2101" s="633"/>
      <c r="F2101" s="472">
        <f t="shared" si="738"/>
        <v>0</v>
      </c>
      <c r="G2101" s="472">
        <f t="shared" si="739"/>
        <v>0</v>
      </c>
    </row>
    <row r="2102" spans="1:7" ht="19.899999999999999" customHeight="1">
      <c r="A2102" s="515">
        <f t="shared" si="735"/>
        <v>0</v>
      </c>
      <c r="B2102" s="478">
        <f t="shared" si="736"/>
        <v>0</v>
      </c>
      <c r="C2102" s="478"/>
      <c r="D2102" s="526">
        <f t="shared" si="737"/>
        <v>0</v>
      </c>
      <c r="E2102" s="470"/>
      <c r="F2102" s="472">
        <f t="shared" si="738"/>
        <v>0</v>
      </c>
      <c r="G2102" s="472">
        <f t="shared" ref="G2102:G2103" si="740">ROUND(E2102*F2102,2)</f>
        <v>0</v>
      </c>
    </row>
    <row r="2103" spans="1:7" ht="19.899999999999999" customHeight="1">
      <c r="A2103" s="515">
        <f t="shared" ref="A2103" si="741">IFERROR(VLOOKUP(C2103,T_Insumos,4,FALSE),0)</f>
        <v>0</v>
      </c>
      <c r="B2103" s="478">
        <f t="shared" ref="B2103" si="742">IFERROR(VLOOKUP(C2103,T_Insumos,5,FALSE),0)</f>
        <v>0</v>
      </c>
      <c r="C2103" s="478"/>
      <c r="D2103" s="526">
        <f t="shared" ref="D2103" si="743">IFERROR(VLOOKUP(C2103,T_Insumos,2,FALSE),0)</f>
        <v>0</v>
      </c>
      <c r="E2103" s="470"/>
      <c r="F2103" s="472">
        <f t="shared" ref="F2103" si="744">IFERROR(VLOOKUP(C2103,T_Insumos,3,FALSE),0)</f>
        <v>0</v>
      </c>
      <c r="G2103" s="472">
        <f t="shared" si="740"/>
        <v>0</v>
      </c>
    </row>
    <row r="2104" spans="1:7" ht="19.899999999999999" customHeight="1">
      <c r="A2104" s="513"/>
      <c r="B2104" s="163"/>
      <c r="C2104" s="163"/>
      <c r="D2104" s="459"/>
      <c r="E2104" s="460"/>
      <c r="F2104" s="481" t="s">
        <v>28</v>
      </c>
      <c r="G2104" s="518">
        <f>SUBTOTAL(9,G2090:G2103)</f>
        <v>0</v>
      </c>
    </row>
    <row r="2105" spans="1:7" ht="19.899999999999999" customHeight="1">
      <c r="A2105" s="513"/>
      <c r="B2105" s="163"/>
      <c r="C2105" s="455" t="s">
        <v>1014</v>
      </c>
      <c r="D2105" s="459"/>
      <c r="E2105" s="460"/>
      <c r="F2105" s="461"/>
      <c r="G2105" s="514"/>
    </row>
    <row r="2106" spans="1:7" ht="19.899999999999999" customHeight="1">
      <c r="A2106" s="677" t="s">
        <v>575</v>
      </c>
      <c r="B2106" s="678"/>
      <c r="C2106" s="679" t="s">
        <v>0</v>
      </c>
      <c r="D2106" s="679" t="s">
        <v>1865</v>
      </c>
      <c r="E2106" s="681" t="s">
        <v>23</v>
      </c>
      <c r="F2106" s="683" t="s">
        <v>24</v>
      </c>
      <c r="G2106" s="685" t="s">
        <v>25</v>
      </c>
    </row>
    <row r="2107" spans="1:7" ht="19.899999999999999" customHeight="1">
      <c r="A2107" s="477" t="s">
        <v>576</v>
      </c>
      <c r="B2107" s="477" t="s">
        <v>577</v>
      </c>
      <c r="C2107" s="680"/>
      <c r="D2107" s="680"/>
      <c r="E2107" s="682"/>
      <c r="F2107" s="684"/>
      <c r="G2107" s="686"/>
    </row>
    <row r="2108" spans="1:7" ht="19.899999999999999" customHeight="1">
      <c r="A2108" s="515">
        <f>IFERROR(VLOOKUP(C2108,T_Insumos,4,FALSE),0)</f>
        <v>0</v>
      </c>
      <c r="B2108" s="478">
        <f>IFERROR(VLOOKUP(C2108,T_Insumos,5,FALSE),0)</f>
        <v>0</v>
      </c>
      <c r="C2108" s="469"/>
      <c r="D2108" s="526">
        <f>IF(C2108=0,0,"$/tnkm")</f>
        <v>0</v>
      </c>
      <c r="E2108" s="470"/>
      <c r="F2108" s="472">
        <f>IFERROR(VLOOKUP(C2108,T_Insumos,3,FALSE),0)</f>
        <v>0</v>
      </c>
      <c r="G2108" s="472">
        <f>ROUND(E2108*F2108,2)</f>
        <v>0</v>
      </c>
    </row>
    <row r="2109" spans="1:7" ht="19.899999999999999" customHeight="1">
      <c r="A2109" s="515">
        <f>IFERROR(VLOOKUP(C2109,T_Insumos,4,FALSE),0)</f>
        <v>0</v>
      </c>
      <c r="B2109" s="478">
        <f>IFERROR(VLOOKUP(C2109,T_Insumos,5,FALSE),0)</f>
        <v>0</v>
      </c>
      <c r="C2109" s="469"/>
      <c r="D2109" s="526">
        <f>IF(C2109=0,0,"$/tnkm")</f>
        <v>0</v>
      </c>
      <c r="E2109" s="486"/>
      <c r="F2109" s="472">
        <f>IFERROR(VLOOKUP(C2109,T_Insumos,3,FALSE),0)</f>
        <v>0</v>
      </c>
      <c r="G2109" s="472">
        <f t="shared" ref="G2109" si="745">ROUND(E2109*F2109,2)</f>
        <v>0</v>
      </c>
    </row>
    <row r="2110" spans="1:7" ht="19.899999999999999" customHeight="1">
      <c r="A2110" s="513"/>
      <c r="B2110" s="163"/>
      <c r="C2110" s="163"/>
      <c r="D2110" s="459"/>
      <c r="E2110" s="460"/>
      <c r="F2110" s="481" t="s">
        <v>1015</v>
      </c>
      <c r="G2110" s="518">
        <f>SUBTOTAL(9,G2108:G2109)</f>
        <v>0</v>
      </c>
    </row>
    <row r="2111" spans="1:7" ht="19.899999999999999" customHeight="1">
      <c r="A2111" s="516"/>
      <c r="B2111" s="459"/>
      <c r="C2111" s="163"/>
      <c r="D2111" s="459"/>
      <c r="E2111" s="460"/>
      <c r="F2111" s="461"/>
      <c r="G2111" s="514"/>
    </row>
    <row r="2112" spans="1:7" ht="19.899999999999999" customHeight="1">
      <c r="A2112" s="574" t="str">
        <f>B2043</f>
        <v>5.2.6</v>
      </c>
      <c r="B2112" s="571" t="str">
        <f ca="1">C2043</f>
        <v>Geotextil</v>
      </c>
      <c r="C2112" s="459"/>
      <c r="D2112" s="459" t="s">
        <v>1831</v>
      </c>
      <c r="E2112" s="572"/>
      <c r="F2112" s="573" t="str">
        <f ca="1">"$/"&amp;G2043</f>
        <v>$/m2</v>
      </c>
      <c r="G2112" s="523">
        <f>SUBTOTAL(9,G2066:G2111)</f>
        <v>0</v>
      </c>
    </row>
    <row r="2113" spans="1:8" ht="19.899999999999999" customHeight="1">
      <c r="A2113" s="519"/>
      <c r="B2113" s="520"/>
      <c r="C2113" s="521"/>
      <c r="D2113" s="521" t="s">
        <v>2041</v>
      </c>
      <c r="E2113" s="522"/>
      <c r="F2113" s="575" t="str">
        <f ca="1">"$/"&amp;G2043</f>
        <v>$/m2</v>
      </c>
      <c r="G2113" s="523">
        <f>ROUND(G2112*Coeficiente_Paso,2)</f>
        <v>0</v>
      </c>
    </row>
    <row r="2114" spans="1:8" ht="19.899999999999999" customHeight="1">
      <c r="A2114" s="163"/>
      <c r="B2114" s="163"/>
      <c r="C2114" s="163"/>
      <c r="D2114" s="163"/>
      <c r="E2114" s="163"/>
      <c r="F2114" s="163"/>
      <c r="G2114" s="163"/>
    </row>
    <row r="2115" spans="1:8" ht="19.899999999999999" customHeight="1">
      <c r="A2115" s="687" t="s">
        <v>30</v>
      </c>
      <c r="B2115" s="688"/>
      <c r="C2115" s="688"/>
      <c r="D2115" s="688"/>
      <c r="E2115" s="688"/>
      <c r="F2115" s="688"/>
      <c r="G2115" s="689"/>
      <c r="H2115" s="60"/>
    </row>
    <row r="2116" spans="1:8" ht="19.899999999999999" customHeight="1">
      <c r="A2116" s="502" t="s">
        <v>710</v>
      </c>
      <c r="B2116" s="453" t="str">
        <f>Comitente</f>
        <v>DEPARTAMENTO DE HIDRAULICA</v>
      </c>
      <c r="C2116" s="454"/>
      <c r="D2116" s="455"/>
      <c r="E2116" s="455"/>
      <c r="F2116" s="456"/>
      <c r="G2116" s="503"/>
      <c r="H2116" s="60"/>
    </row>
    <row r="2117" spans="1:8" ht="19.899999999999999" customHeight="1">
      <c r="A2117" s="502" t="s">
        <v>711</v>
      </c>
      <c r="B2117" s="453">
        <f>Contratista</f>
        <v>0</v>
      </c>
      <c r="C2117" s="457"/>
      <c r="D2117" s="457"/>
      <c r="E2117" s="457"/>
      <c r="F2117" s="453"/>
      <c r="G2117" s="504"/>
      <c r="H2117" s="60"/>
    </row>
    <row r="2118" spans="1:8" ht="19.899999999999999" customHeight="1">
      <c r="A2118" s="502" t="s">
        <v>20</v>
      </c>
      <c r="B2118" s="453" t="str">
        <f>Obra</f>
        <v>MEJORA DE LA RED DE RIEGO DEL VALLE DE JÁCHAL</v>
      </c>
      <c r="C2118" s="457"/>
      <c r="D2118" s="457"/>
      <c r="E2118" s="457"/>
      <c r="F2118" s="453" t="s">
        <v>31</v>
      </c>
      <c r="G2118" s="504" t="str">
        <f>Fecha_Base</f>
        <v>XX/07/2020</v>
      </c>
      <c r="H2118" s="60"/>
    </row>
    <row r="2119" spans="1:8" ht="19.899999999999999" customHeight="1">
      <c r="A2119" s="505" t="s">
        <v>709</v>
      </c>
      <c r="B2119" s="458" t="str">
        <f>Ubicación</f>
        <v>JACHAL</v>
      </c>
      <c r="C2119" s="458"/>
      <c r="D2119" s="459"/>
      <c r="E2119" s="460"/>
      <c r="F2119" s="461"/>
      <c r="G2119" s="506"/>
      <c r="H2119" s="60"/>
    </row>
    <row r="2120" spans="1:8" ht="19.899999999999999" customHeight="1">
      <c r="A2120" s="505" t="s">
        <v>32</v>
      </c>
      <c r="B2120" s="462">
        <f>IFERROR(VALUE(LEFT(B2121,FIND(".",B2121)-1)),"")</f>
        <v>5</v>
      </c>
      <c r="C2120" s="163" t="str">
        <f ca="1">IFERROR(VLOOKUP(B2120,T_Computo_Presupuesto,2,FALSE),0)</f>
        <v>CANAL MATRIZ</v>
      </c>
      <c r="D2120" s="163"/>
      <c r="E2120" s="460"/>
      <c r="F2120" s="461"/>
      <c r="G2120" s="506"/>
      <c r="H2120" s="60"/>
    </row>
    <row r="2121" spans="1:8" ht="19.899999999999999" customHeight="1">
      <c r="A2121" s="505" t="s">
        <v>21</v>
      </c>
      <c r="B2121" s="463" t="str">
        <f>IFERROR(VLOOKUP(COUNTIF($A$1:A2121,"ANALISIS DE PRECIOS"),T_NumeroItem,2,FALSE),"")</f>
        <v>5.2.7</v>
      </c>
      <c r="C2121" s="690" t="str">
        <f ca="1">IFERROR(VLOOKUP(B2121,T_Computo_Presupuesto,2,FALSE),0)</f>
        <v>Grava de asiento</v>
      </c>
      <c r="D2121" s="690"/>
      <c r="E2121" s="690"/>
      <c r="F2121" s="458" t="s">
        <v>22</v>
      </c>
      <c r="G2121" s="507" t="str">
        <f ca="1">IFERROR(VLOOKUP(B2121,T_Computo_Presupuesto,4,FALSE),0)</f>
        <v>m3</v>
      </c>
      <c r="H2121" s="60"/>
    </row>
    <row r="2122" spans="1:8" ht="19.899999999999999" customHeight="1">
      <c r="A2122" s="505"/>
      <c r="B2122" s="458"/>
      <c r="C2122" s="163"/>
      <c r="D2122" s="459"/>
      <c r="E2122" s="460"/>
      <c r="F2122" s="163"/>
      <c r="G2122" s="508"/>
      <c r="H2122" s="60"/>
    </row>
    <row r="2123" spans="1:8" ht="19.899999999999999" customHeight="1">
      <c r="A2123" s="509"/>
      <c r="B2123" s="464"/>
      <c r="C2123" s="465" t="s">
        <v>998</v>
      </c>
      <c r="D2123" s="464"/>
      <c r="E2123" s="464"/>
      <c r="F2123" s="464"/>
      <c r="G2123" s="510"/>
      <c r="H2123" s="60"/>
    </row>
    <row r="2124" spans="1:8" ht="19.899999999999999" customHeight="1">
      <c r="A2124" s="505"/>
      <c r="B2124" s="466"/>
      <c r="C2124" s="163"/>
      <c r="D2124" s="459"/>
      <c r="E2124" s="460"/>
      <c r="F2124" s="458"/>
      <c r="G2124" s="507"/>
      <c r="H2124" s="60"/>
    </row>
    <row r="2125" spans="1:8" ht="19.899999999999999" customHeight="1">
      <c r="A2125" s="505"/>
      <c r="B2125" s="466"/>
      <c r="C2125" s="467" t="s">
        <v>999</v>
      </c>
      <c r="D2125" s="468" t="s">
        <v>23</v>
      </c>
      <c r="E2125" s="468" t="s">
        <v>1000</v>
      </c>
      <c r="F2125" s="468" t="s">
        <v>1001</v>
      </c>
      <c r="G2125" s="467" t="s">
        <v>1002</v>
      </c>
    </row>
    <row r="2126" spans="1:8" ht="19.899999999999999" customHeight="1">
      <c r="A2126" s="505"/>
      <c r="B2126" s="466"/>
      <c r="C2126" s="469"/>
      <c r="D2126" s="470"/>
      <c r="E2126" s="471">
        <f t="shared" ref="E2126:E2135" si="746">IFERROR(VLOOKUP(C2126,T_Equipos,4,FALSE),0)</f>
        <v>0</v>
      </c>
      <c r="F2126" s="472">
        <f t="shared" ref="F2126:F2135" si="747">IFERROR(VLOOKUP(C2126,T_Equipos,5,FALSE),0)</f>
        <v>0</v>
      </c>
      <c r="G2126" s="472">
        <f>ROUND(D2126*F2126,2)</f>
        <v>0</v>
      </c>
    </row>
    <row r="2127" spans="1:8" ht="19.899999999999999" customHeight="1">
      <c r="A2127" s="505"/>
      <c r="B2127" s="466"/>
      <c r="C2127" s="469"/>
      <c r="D2127" s="470"/>
      <c r="E2127" s="471">
        <f t="shared" si="746"/>
        <v>0</v>
      </c>
      <c r="F2127" s="472">
        <f t="shared" si="747"/>
        <v>0</v>
      </c>
      <c r="G2127" s="472">
        <f>ROUND(D2127*F2127,2)</f>
        <v>0</v>
      </c>
    </row>
    <row r="2128" spans="1:8" ht="19.899999999999999" customHeight="1">
      <c r="A2128" s="505"/>
      <c r="B2128" s="466"/>
      <c r="C2128" s="469"/>
      <c r="D2128" s="470"/>
      <c r="E2128" s="471">
        <f t="shared" si="746"/>
        <v>0</v>
      </c>
      <c r="F2128" s="472">
        <f t="shared" si="747"/>
        <v>0</v>
      </c>
      <c r="G2128" s="472">
        <f>ROUND(D2128*F2128,2)</f>
        <v>0</v>
      </c>
    </row>
    <row r="2129" spans="1:7" ht="19.899999999999999" customHeight="1">
      <c r="A2129" s="505"/>
      <c r="B2129" s="466"/>
      <c r="C2129" s="469"/>
      <c r="D2129" s="470"/>
      <c r="E2129" s="471">
        <f t="shared" si="746"/>
        <v>0</v>
      </c>
      <c r="F2129" s="472">
        <f t="shared" si="747"/>
        <v>0</v>
      </c>
      <c r="G2129" s="472">
        <f>ROUND(D2129*F2129,2)</f>
        <v>0</v>
      </c>
    </row>
    <row r="2130" spans="1:7" ht="19.899999999999999" customHeight="1">
      <c r="A2130" s="505"/>
      <c r="B2130" s="466"/>
      <c r="C2130" s="469"/>
      <c r="D2130" s="470"/>
      <c r="E2130" s="471">
        <f t="shared" si="746"/>
        <v>0</v>
      </c>
      <c r="F2130" s="472">
        <f t="shared" si="747"/>
        <v>0</v>
      </c>
      <c r="G2130" s="472">
        <f t="shared" ref="G2130:G2135" si="748">ROUND(D2130*F2130,2)</f>
        <v>0</v>
      </c>
    </row>
    <row r="2131" spans="1:7" ht="19.899999999999999" customHeight="1">
      <c r="A2131" s="505"/>
      <c r="B2131" s="466"/>
      <c r="C2131" s="469"/>
      <c r="D2131" s="470"/>
      <c r="E2131" s="471">
        <f t="shared" si="746"/>
        <v>0</v>
      </c>
      <c r="F2131" s="472">
        <f t="shared" si="747"/>
        <v>0</v>
      </c>
      <c r="G2131" s="472">
        <f t="shared" si="748"/>
        <v>0</v>
      </c>
    </row>
    <row r="2132" spans="1:7" ht="19.899999999999999" customHeight="1">
      <c r="A2132" s="505"/>
      <c r="B2132" s="466"/>
      <c r="C2132" s="469"/>
      <c r="D2132" s="470"/>
      <c r="E2132" s="471">
        <f t="shared" si="746"/>
        <v>0</v>
      </c>
      <c r="F2132" s="472">
        <f t="shared" si="747"/>
        <v>0</v>
      </c>
      <c r="G2132" s="472">
        <f t="shared" si="748"/>
        <v>0</v>
      </c>
    </row>
    <row r="2133" spans="1:7" ht="19.899999999999999" customHeight="1">
      <c r="A2133" s="505"/>
      <c r="B2133" s="466"/>
      <c r="C2133" s="469"/>
      <c r="D2133" s="470"/>
      <c r="E2133" s="471">
        <f t="shared" si="746"/>
        <v>0</v>
      </c>
      <c r="F2133" s="472">
        <f t="shared" si="747"/>
        <v>0</v>
      </c>
      <c r="G2133" s="472">
        <f t="shared" si="748"/>
        <v>0</v>
      </c>
    </row>
    <row r="2134" spans="1:7" ht="19.899999999999999" customHeight="1">
      <c r="A2134" s="505"/>
      <c r="B2134" s="466"/>
      <c r="C2134" s="469"/>
      <c r="D2134" s="470"/>
      <c r="E2134" s="471">
        <f t="shared" si="746"/>
        <v>0</v>
      </c>
      <c r="F2134" s="472">
        <f t="shared" si="747"/>
        <v>0</v>
      </c>
      <c r="G2134" s="472">
        <f t="shared" si="748"/>
        <v>0</v>
      </c>
    </row>
    <row r="2135" spans="1:7" ht="19.899999999999999" customHeight="1">
      <c r="A2135" s="505"/>
      <c r="B2135" s="466"/>
      <c r="C2135" s="469"/>
      <c r="D2135" s="470"/>
      <c r="E2135" s="471">
        <f t="shared" si="746"/>
        <v>0</v>
      </c>
      <c r="F2135" s="472">
        <f t="shared" si="747"/>
        <v>0</v>
      </c>
      <c r="G2135" s="472">
        <f t="shared" si="748"/>
        <v>0</v>
      </c>
    </row>
    <row r="2136" spans="1:7" ht="19.899999999999999" customHeight="1">
      <c r="A2136" s="505"/>
      <c r="B2136" s="466"/>
      <c r="C2136" s="163"/>
      <c r="D2136" s="163"/>
      <c r="E2136" s="473"/>
      <c r="F2136" s="458"/>
      <c r="G2136" s="507"/>
    </row>
    <row r="2137" spans="1:7" ht="19.899999999999999" customHeight="1">
      <c r="A2137" s="505"/>
      <c r="B2137" s="163"/>
      <c r="C2137" s="455" t="s">
        <v>1003</v>
      </c>
      <c r="D2137" s="458" t="s">
        <v>1000</v>
      </c>
      <c r="E2137" s="524">
        <f>SUMPRODUCT(D2126:D2135,E2126:E2135)</f>
        <v>0</v>
      </c>
      <c r="F2137" s="458" t="s">
        <v>1004</v>
      </c>
      <c r="G2137" s="525">
        <f>SUM(G2126:G2135)</f>
        <v>0</v>
      </c>
    </row>
    <row r="2138" spans="1:7" ht="19.899999999999999" customHeight="1">
      <c r="A2138" s="505"/>
      <c r="B2138" s="466"/>
      <c r="C2138" s="474"/>
      <c r="D2138" s="473"/>
      <c r="E2138" s="460"/>
      <c r="F2138" s="458"/>
      <c r="G2138" s="511"/>
    </row>
    <row r="2139" spans="1:7" ht="19.899999999999999" customHeight="1">
      <c r="A2139" s="512"/>
      <c r="B2139" s="466"/>
      <c r="C2139" s="458" t="s">
        <v>1005</v>
      </c>
      <c r="D2139" s="475"/>
      <c r="E2139" s="476" t="str">
        <f ca="1">G2121&amp;"/día"</f>
        <v>m3/día</v>
      </c>
      <c r="F2139" s="452"/>
      <c r="G2139" s="507"/>
    </row>
    <row r="2140" spans="1:7" ht="19.899999999999999" customHeight="1">
      <c r="A2140" s="505"/>
      <c r="B2140" s="466"/>
      <c r="C2140" s="163"/>
      <c r="D2140" s="459"/>
      <c r="E2140" s="460"/>
      <c r="F2140" s="458"/>
      <c r="G2140" s="507"/>
    </row>
    <row r="2141" spans="1:7" ht="19.899999999999999" customHeight="1">
      <c r="A2141" s="677" t="s">
        <v>575</v>
      </c>
      <c r="B2141" s="678"/>
      <c r="C2141" s="679" t="s">
        <v>0</v>
      </c>
      <c r="D2141" s="691" t="s">
        <v>1864</v>
      </c>
      <c r="E2141" s="691" t="s">
        <v>1863</v>
      </c>
      <c r="F2141" s="683" t="s">
        <v>1006</v>
      </c>
      <c r="G2141" s="685" t="s">
        <v>25</v>
      </c>
    </row>
    <row r="2142" spans="1:7" ht="19.899999999999999" customHeight="1">
      <c r="A2142" s="477" t="s">
        <v>576</v>
      </c>
      <c r="B2142" s="477" t="s">
        <v>577</v>
      </c>
      <c r="C2142" s="680"/>
      <c r="D2142" s="692"/>
      <c r="E2142" s="682"/>
      <c r="F2142" s="684"/>
      <c r="G2142" s="686"/>
    </row>
    <row r="2143" spans="1:7" ht="19.899999999999999" customHeight="1">
      <c r="A2143" s="513"/>
      <c r="B2143" s="163"/>
      <c r="C2143" s="455" t="s">
        <v>1007</v>
      </c>
      <c r="D2143" s="460"/>
      <c r="E2143" s="460"/>
      <c r="F2143" s="163"/>
      <c r="G2143" s="514"/>
    </row>
    <row r="2144" spans="1:7" ht="19.899999999999999" customHeight="1">
      <c r="A2144" s="515">
        <f t="shared" ref="A2144:A2152" si="749">IFERROR(VLOOKUP(C2144,T_Insumos,4,FALSE),0)</f>
        <v>0</v>
      </c>
      <c r="B2144" s="478">
        <f t="shared" ref="B2144:B2152" si="750">IFERROR(VLOOKUP(C2144,T_Insumos,5,FALSE),0)</f>
        <v>0</v>
      </c>
      <c r="C2144" s="469"/>
      <c r="D2144" s="479">
        <f t="shared" ref="D2144:D2152" si="751">IFERROR(VLOOKUP(C2144,T_Insumos,3,FALSE),0)</f>
        <v>0</v>
      </c>
      <c r="E2144" s="472">
        <f>D2144*$G$23</f>
        <v>0</v>
      </c>
      <c r="F2144" s="475">
        <f>IF(C2144="",0,IFERROR(VLOOKUP(COUNTIF($A$1:A2144,"ANALISIS DE PRECIOS"),T_Rendimiento_Equipo,5,FALSE),0))</f>
        <v>0</v>
      </c>
      <c r="G2144" s="472">
        <f>IFERROR(ROUND(E2144/F2144,2),0)</f>
        <v>0</v>
      </c>
    </row>
    <row r="2145" spans="1:7" ht="19.899999999999999" customHeight="1">
      <c r="A2145" s="515">
        <f t="shared" si="749"/>
        <v>0</v>
      </c>
      <c r="B2145" s="478">
        <f t="shared" si="750"/>
        <v>0</v>
      </c>
      <c r="C2145" s="469"/>
      <c r="D2145" s="479">
        <f t="shared" si="751"/>
        <v>0</v>
      </c>
      <c r="E2145" s="472">
        <f t="shared" ref="E2145:E2152" si="752">D2145*$G$23</f>
        <v>0</v>
      </c>
      <c r="F2145" s="475">
        <f>IF(C2145="",0,IFERROR(VLOOKUP(COUNTIF($A$1:A2145,"ANALISIS DE PRECIOS"),T_Rendimiento_Equipo,5,FALSE),0))</f>
        <v>0</v>
      </c>
      <c r="G2145" s="472">
        <f t="shared" ref="G2145:G2152" si="753">IFERROR(ROUND(E2145/F2145,2),0)</f>
        <v>0</v>
      </c>
    </row>
    <row r="2146" spans="1:7" ht="19.899999999999999" customHeight="1">
      <c r="A2146" s="515">
        <f t="shared" si="749"/>
        <v>0</v>
      </c>
      <c r="B2146" s="478">
        <f t="shared" si="750"/>
        <v>0</v>
      </c>
      <c r="C2146" s="480"/>
      <c r="D2146" s="479">
        <f t="shared" si="751"/>
        <v>0</v>
      </c>
      <c r="E2146" s="472">
        <f t="shared" si="752"/>
        <v>0</v>
      </c>
      <c r="F2146" s="475">
        <f>IF(C2146="",0,IFERROR(VLOOKUP(COUNTIF($A$1:A2146,"ANALISIS DE PRECIOS"),T_Rendimiento_Equipo,5,FALSE),0))</f>
        <v>0</v>
      </c>
      <c r="G2146" s="472">
        <f t="shared" si="753"/>
        <v>0</v>
      </c>
    </row>
    <row r="2147" spans="1:7" ht="19.899999999999999" customHeight="1">
      <c r="A2147" s="515">
        <f t="shared" si="749"/>
        <v>0</v>
      </c>
      <c r="B2147" s="478">
        <f t="shared" si="750"/>
        <v>0</v>
      </c>
      <c r="C2147" s="480"/>
      <c r="D2147" s="479">
        <f t="shared" si="751"/>
        <v>0</v>
      </c>
      <c r="E2147" s="472">
        <f t="shared" si="752"/>
        <v>0</v>
      </c>
      <c r="F2147" s="475">
        <f>IF(C2147="",0,IFERROR(VLOOKUP(COUNTIF($A$1:A2147,"ANALISIS DE PRECIOS"),T_Rendimiento_Equipo,5,FALSE),0))</f>
        <v>0</v>
      </c>
      <c r="G2147" s="472">
        <f t="shared" si="753"/>
        <v>0</v>
      </c>
    </row>
    <row r="2148" spans="1:7" ht="19.899999999999999" customHeight="1">
      <c r="A2148" s="515">
        <f t="shared" si="749"/>
        <v>0</v>
      </c>
      <c r="B2148" s="478">
        <f t="shared" si="750"/>
        <v>0</v>
      </c>
      <c r="C2148" s="480"/>
      <c r="D2148" s="479">
        <f t="shared" si="751"/>
        <v>0</v>
      </c>
      <c r="E2148" s="472">
        <f t="shared" si="752"/>
        <v>0</v>
      </c>
      <c r="F2148" s="475">
        <f>IF(C2148="",0,IFERROR(VLOOKUP(COUNTIF($A$1:A2148,"ANALISIS DE PRECIOS"),T_Rendimiento_Equipo,5,FALSE),0))</f>
        <v>0</v>
      </c>
      <c r="G2148" s="472">
        <f t="shared" si="753"/>
        <v>0</v>
      </c>
    </row>
    <row r="2149" spans="1:7" ht="19.899999999999999" customHeight="1">
      <c r="A2149" s="515">
        <f t="shared" si="749"/>
        <v>0</v>
      </c>
      <c r="B2149" s="478">
        <f t="shared" si="750"/>
        <v>0</v>
      </c>
      <c r="C2149" s="480"/>
      <c r="D2149" s="479">
        <f t="shared" si="751"/>
        <v>0</v>
      </c>
      <c r="E2149" s="472">
        <f t="shared" si="752"/>
        <v>0</v>
      </c>
      <c r="F2149" s="475">
        <f>IF(C2149="",0,IFERROR(VLOOKUP(COUNTIF($A$1:A2149,"ANALISIS DE PRECIOS"),T_Rendimiento_Equipo,5,FALSE),0))</f>
        <v>0</v>
      </c>
      <c r="G2149" s="472">
        <f t="shared" si="753"/>
        <v>0</v>
      </c>
    </row>
    <row r="2150" spans="1:7" ht="19.899999999999999" customHeight="1">
      <c r="A2150" s="515">
        <f t="shared" si="749"/>
        <v>0</v>
      </c>
      <c r="B2150" s="478">
        <f t="shared" si="750"/>
        <v>0</v>
      </c>
      <c r="C2150" s="480"/>
      <c r="D2150" s="479">
        <f t="shared" si="751"/>
        <v>0</v>
      </c>
      <c r="E2150" s="472">
        <f t="shared" si="752"/>
        <v>0</v>
      </c>
      <c r="F2150" s="475">
        <f>IF(C2150="",0,IFERROR(VLOOKUP(COUNTIF($A$1:A2150,"ANALISIS DE PRECIOS"),T_Rendimiento_Equipo,5,FALSE),0))</f>
        <v>0</v>
      </c>
      <c r="G2150" s="472">
        <f t="shared" si="753"/>
        <v>0</v>
      </c>
    </row>
    <row r="2151" spans="1:7" ht="19.899999999999999" customHeight="1">
      <c r="A2151" s="515">
        <f t="shared" si="749"/>
        <v>0</v>
      </c>
      <c r="B2151" s="478">
        <f t="shared" si="750"/>
        <v>0</v>
      </c>
      <c r="C2151" s="480"/>
      <c r="D2151" s="479">
        <f t="shared" si="751"/>
        <v>0</v>
      </c>
      <c r="E2151" s="472">
        <f t="shared" si="752"/>
        <v>0</v>
      </c>
      <c r="F2151" s="475">
        <f>IF(C2151="",0,IFERROR(VLOOKUP(COUNTIF($A$1:A2151,"ANALISIS DE PRECIOS"),T_Rendimiento_Equipo,5,FALSE),0))</f>
        <v>0</v>
      </c>
      <c r="G2151" s="472">
        <f t="shared" si="753"/>
        <v>0</v>
      </c>
    </row>
    <row r="2152" spans="1:7" ht="19.899999999999999" customHeight="1">
      <c r="A2152" s="515">
        <f t="shared" si="749"/>
        <v>0</v>
      </c>
      <c r="B2152" s="478">
        <f t="shared" si="750"/>
        <v>0</v>
      </c>
      <c r="C2152" s="469"/>
      <c r="D2152" s="479">
        <f t="shared" si="751"/>
        <v>0</v>
      </c>
      <c r="E2152" s="472">
        <f t="shared" si="752"/>
        <v>0</v>
      </c>
      <c r="F2152" s="475">
        <f>IF(C2152="",0,IFERROR(VLOOKUP(COUNTIF($A$1:A2152,"ANALISIS DE PRECIOS"),T_Rendimiento_Equipo,5,FALSE),0))</f>
        <v>0</v>
      </c>
      <c r="G2152" s="472">
        <f t="shared" si="753"/>
        <v>0</v>
      </c>
    </row>
    <row r="2153" spans="1:7" ht="19.899999999999999" customHeight="1">
      <c r="A2153" s="516"/>
      <c r="B2153" s="459"/>
      <c r="C2153" s="163"/>
      <c r="D2153" s="459"/>
      <c r="E2153" s="460"/>
      <c r="F2153" s="481" t="s">
        <v>26</v>
      </c>
      <c r="G2153" s="517">
        <f>SUBTOTAL(9,G2144:G2152)</f>
        <v>0</v>
      </c>
    </row>
    <row r="2154" spans="1:7" ht="19.899999999999999" customHeight="1">
      <c r="A2154" s="513"/>
      <c r="B2154" s="163"/>
      <c r="C2154" s="455" t="s">
        <v>712</v>
      </c>
      <c r="D2154" s="459"/>
      <c r="E2154" s="460"/>
      <c r="F2154" s="461"/>
      <c r="G2154" s="514"/>
    </row>
    <row r="2155" spans="1:7" ht="19.899999999999999" customHeight="1">
      <c r="A2155" s="677" t="s">
        <v>575</v>
      </c>
      <c r="B2155" s="678"/>
      <c r="C2155" s="679" t="s">
        <v>0</v>
      </c>
      <c r="D2155" s="681" t="s">
        <v>23</v>
      </c>
      <c r="E2155" s="681" t="s">
        <v>1830</v>
      </c>
      <c r="F2155" s="683" t="s">
        <v>1006</v>
      </c>
      <c r="G2155" s="685" t="s">
        <v>25</v>
      </c>
    </row>
    <row r="2156" spans="1:7" ht="19.899999999999999" customHeight="1">
      <c r="A2156" s="477" t="s">
        <v>576</v>
      </c>
      <c r="B2156" s="477" t="s">
        <v>577</v>
      </c>
      <c r="C2156" s="680"/>
      <c r="D2156" s="682"/>
      <c r="E2156" s="682"/>
      <c r="F2156" s="684"/>
      <c r="G2156" s="686"/>
    </row>
    <row r="2157" spans="1:7" ht="19.899999999999999" customHeight="1">
      <c r="A2157" s="515">
        <f t="shared" ref="A2157:A2162" si="754">IFERROR(VLOOKUP(C2157,T_Insumos,4,FALSE),0)</f>
        <v>0</v>
      </c>
      <c r="B2157" s="478">
        <f t="shared" ref="B2157:B2162" si="755">IFERROR(VLOOKUP(C2157,T_Insumos,5,FALSE),0)</f>
        <v>0</v>
      </c>
      <c r="C2157" s="482"/>
      <c r="D2157" s="475"/>
      <c r="E2157" s="472">
        <f t="shared" ref="E2157:E2162" si="756">IFERROR(VLOOKUP(C2157,T_Insumos,3,FALSE),0)</f>
        <v>0</v>
      </c>
      <c r="F2157" s="475">
        <f>IF(C2157="",0,IFERROR(VLOOKUP(COUNTIF($A$1:A2157,"ANALISIS DE PRECIOS"),T_Rendimiento_Equipo,5,FALSE),0))</f>
        <v>0</v>
      </c>
      <c r="G2157" s="472">
        <f>IFERROR(ROUND(D2157*E2157/F2157,2),0)</f>
        <v>0</v>
      </c>
    </row>
    <row r="2158" spans="1:7" ht="19.899999999999999" customHeight="1">
      <c r="A2158" s="515">
        <f t="shared" si="754"/>
        <v>0</v>
      </c>
      <c r="B2158" s="478">
        <f t="shared" si="755"/>
        <v>0</v>
      </c>
      <c r="C2158" s="469"/>
      <c r="D2158" s="475"/>
      <c r="E2158" s="472">
        <f t="shared" si="756"/>
        <v>0</v>
      </c>
      <c r="F2158" s="475">
        <f>IF(C2158="",0,IFERROR(VLOOKUP(COUNTIF($A$1:A2158,"ANALISIS DE PRECIOS"),T_Rendimiento_Equipo,5,FALSE),0))</f>
        <v>0</v>
      </c>
      <c r="G2158" s="472">
        <f t="shared" ref="G2158:G2163" si="757">IFERROR(ROUND(D2158*E2158/F2158,2),0)</f>
        <v>0</v>
      </c>
    </row>
    <row r="2159" spans="1:7" ht="19.899999999999999" customHeight="1">
      <c r="A2159" s="515">
        <f t="shared" si="754"/>
        <v>0</v>
      </c>
      <c r="B2159" s="478">
        <f t="shared" si="755"/>
        <v>0</v>
      </c>
      <c r="C2159" s="469"/>
      <c r="D2159" s="475"/>
      <c r="E2159" s="472">
        <f t="shared" si="756"/>
        <v>0</v>
      </c>
      <c r="F2159" s="475">
        <f>IF(C2159="",0,IFERROR(VLOOKUP(COUNTIF($A$1:A2159,"ANALISIS DE PRECIOS"),T_Rendimiento_Equipo,5,FALSE),0))</f>
        <v>0</v>
      </c>
      <c r="G2159" s="472">
        <f t="shared" si="757"/>
        <v>0</v>
      </c>
    </row>
    <row r="2160" spans="1:7" ht="19.899999999999999" customHeight="1">
      <c r="A2160" s="515">
        <f t="shared" si="754"/>
        <v>0</v>
      </c>
      <c r="B2160" s="478">
        <f t="shared" si="755"/>
        <v>0</v>
      </c>
      <c r="C2160" s="469"/>
      <c r="D2160" s="475"/>
      <c r="E2160" s="472">
        <f t="shared" si="756"/>
        <v>0</v>
      </c>
      <c r="F2160" s="475">
        <f>IF(C2160="",0,IFERROR(VLOOKUP(COUNTIF($A$1:A2160,"ANALISIS DE PRECIOS"),T_Rendimiento_Equipo,5,FALSE),0))</f>
        <v>0</v>
      </c>
      <c r="G2160" s="472">
        <f t="shared" si="757"/>
        <v>0</v>
      </c>
    </row>
    <row r="2161" spans="1:13" ht="19.899999999999999" customHeight="1">
      <c r="A2161" s="515">
        <f t="shared" si="754"/>
        <v>0</v>
      </c>
      <c r="B2161" s="478">
        <f t="shared" si="755"/>
        <v>0</v>
      </c>
      <c r="C2161" s="469"/>
      <c r="D2161" s="475"/>
      <c r="E2161" s="472">
        <f t="shared" si="756"/>
        <v>0</v>
      </c>
      <c r="F2161" s="475">
        <f>IF(C2161="",0,IFERROR(VLOOKUP(COUNTIF($A$1:A2161,"ANALISIS DE PRECIOS"),T_Rendimiento_Equipo,5,FALSE),0))</f>
        <v>0</v>
      </c>
      <c r="G2161" s="472">
        <f t="shared" si="757"/>
        <v>0</v>
      </c>
    </row>
    <row r="2162" spans="1:13" ht="19.899999999999999" customHeight="1">
      <c r="A2162" s="515">
        <f t="shared" si="754"/>
        <v>0</v>
      </c>
      <c r="B2162" s="478">
        <f t="shared" si="755"/>
        <v>0</v>
      </c>
      <c r="C2162" s="469"/>
      <c r="D2162" s="483"/>
      <c r="E2162" s="472">
        <f t="shared" si="756"/>
        <v>0</v>
      </c>
      <c r="F2162" s="475">
        <f>IF(C2162="",0,IFERROR(VLOOKUP(COUNTIF($A$1:A2162,"ANALISIS DE PRECIOS"),T_Rendimiento_Equipo,5,FALSE),0))</f>
        <v>0</v>
      </c>
      <c r="G2162" s="472">
        <f t="shared" si="757"/>
        <v>0</v>
      </c>
    </row>
    <row r="2163" spans="1:13" ht="19.899999999999999" customHeight="1">
      <c r="A2163" s="515">
        <f t="shared" ref="A2163" si="758">IFERROR(VLOOKUP(C2163,T_Insumos,4,FALSE),0)</f>
        <v>0</v>
      </c>
      <c r="B2163" s="478">
        <f t="shared" ref="B2163" si="759">IFERROR(VLOOKUP(C2163,T_Insumos,5,FALSE),0)</f>
        <v>0</v>
      </c>
      <c r="C2163" s="478"/>
      <c r="D2163" s="484"/>
      <c r="E2163" s="472">
        <f t="shared" ref="E2163" si="760">IFERROR(VLOOKUP(C2163,T_Insumos,3,FALSE),0)</f>
        <v>0</v>
      </c>
      <c r="F2163" s="475">
        <f>IF(C2163="",0,IFERROR(VLOOKUP(COUNTIF($A$1:A2163,"ANALISIS DE PRECIOS"),T_Rendimiento_Equipo,5,FALSE),0))</f>
        <v>0</v>
      </c>
      <c r="G2163" s="472">
        <f t="shared" si="757"/>
        <v>0</v>
      </c>
    </row>
    <row r="2164" spans="1:13" ht="19.899999999999999" customHeight="1">
      <c r="A2164" s="516"/>
      <c r="B2164" s="459"/>
      <c r="C2164" s="163"/>
      <c r="D2164" s="459"/>
      <c r="E2164" s="460"/>
      <c r="F2164" s="481" t="s">
        <v>27</v>
      </c>
      <c r="G2164" s="518">
        <f>SUBTOTAL(9,G2157:G2163)</f>
        <v>0</v>
      </c>
    </row>
    <row r="2165" spans="1:13" ht="19.899999999999999" customHeight="1">
      <c r="A2165" s="513"/>
      <c r="B2165" s="163"/>
      <c r="C2165" s="455" t="s">
        <v>1013</v>
      </c>
      <c r="D2165" s="459"/>
      <c r="E2165" s="460"/>
      <c r="F2165" s="461"/>
      <c r="G2165" s="514"/>
    </row>
    <row r="2166" spans="1:13" ht="19.899999999999999" customHeight="1">
      <c r="A2166" s="677" t="s">
        <v>575</v>
      </c>
      <c r="B2166" s="678"/>
      <c r="C2166" s="679" t="s">
        <v>0</v>
      </c>
      <c r="D2166" s="679" t="s">
        <v>1865</v>
      </c>
      <c r="E2166" s="681" t="s">
        <v>23</v>
      </c>
      <c r="F2166" s="683" t="s">
        <v>24</v>
      </c>
      <c r="G2166" s="685" t="s">
        <v>25</v>
      </c>
    </row>
    <row r="2167" spans="1:13" ht="19.899999999999999" customHeight="1">
      <c r="A2167" s="477" t="s">
        <v>576</v>
      </c>
      <c r="B2167" s="477" t="s">
        <v>577</v>
      </c>
      <c r="C2167" s="680"/>
      <c r="D2167" s="680"/>
      <c r="E2167" s="682"/>
      <c r="F2167" s="684"/>
      <c r="G2167" s="686"/>
    </row>
    <row r="2168" spans="1:13" ht="19.899999999999999" customHeight="1">
      <c r="A2168" s="515">
        <f t="shared" ref="A2168:A2177" si="761">IFERROR(VLOOKUP(C2168,T_Insumos,4,FALSE),0)</f>
        <v>0</v>
      </c>
      <c r="B2168" s="478">
        <f t="shared" ref="B2168:B2177" si="762">IFERROR(VLOOKUP(C2168,T_Insumos,5,FALSE),0)</f>
        <v>0</v>
      </c>
      <c r="C2168" s="478"/>
      <c r="D2168" s="526">
        <f t="shared" ref="D2168:D2178" si="763">IFERROR(VLOOKUP(C2168,T_Insumos,2,FALSE),0)</f>
        <v>0</v>
      </c>
      <c r="E2168" s="470"/>
      <c r="F2168" s="472">
        <f t="shared" ref="F2168:F2178" si="764">IFERROR(VLOOKUP(C2168,T_Insumos,3,FALSE),0)</f>
        <v>0</v>
      </c>
      <c r="G2168" s="472">
        <f>ROUND(E2168*F2168,2)</f>
        <v>0</v>
      </c>
      <c r="J2168" s="452" t="s">
        <v>2083</v>
      </c>
      <c r="K2168" s="452" t="s">
        <v>2084</v>
      </c>
      <c r="L2168" s="452">
        <v>4</v>
      </c>
      <c r="M2168" s="452">
        <v>148200</v>
      </c>
    </row>
    <row r="2169" spans="1:13" s="485" customFormat="1" ht="19.899999999999999" customHeight="1">
      <c r="A2169" s="515">
        <f t="shared" si="761"/>
        <v>0</v>
      </c>
      <c r="B2169" s="478">
        <f t="shared" si="762"/>
        <v>0</v>
      </c>
      <c r="C2169" s="478"/>
      <c r="D2169" s="526">
        <f t="shared" si="763"/>
        <v>0</v>
      </c>
      <c r="E2169" s="470"/>
      <c r="F2169" s="472">
        <f t="shared" si="764"/>
        <v>0</v>
      </c>
      <c r="G2169" s="472">
        <f t="shared" ref="G2169:G2178" si="765">ROUND(E2169*F2169,2)</f>
        <v>0</v>
      </c>
      <c r="J2169" s="485" t="s">
        <v>2085</v>
      </c>
      <c r="K2169" s="485" t="s">
        <v>2076</v>
      </c>
      <c r="L2169" s="485">
        <v>1</v>
      </c>
      <c r="M2169" s="485">
        <v>11115</v>
      </c>
    </row>
    <row r="2170" spans="1:13" ht="19.899999999999999" customHeight="1">
      <c r="A2170" s="515">
        <f t="shared" si="761"/>
        <v>0</v>
      </c>
      <c r="B2170" s="478">
        <f t="shared" si="762"/>
        <v>0</v>
      </c>
      <c r="C2170" s="478"/>
      <c r="D2170" s="526">
        <f t="shared" si="763"/>
        <v>0</v>
      </c>
      <c r="E2170" s="470"/>
      <c r="F2170" s="472">
        <f t="shared" si="764"/>
        <v>0</v>
      </c>
      <c r="G2170" s="472">
        <f t="shared" si="765"/>
        <v>0</v>
      </c>
    </row>
    <row r="2171" spans="1:13" ht="19.899999999999999" customHeight="1">
      <c r="A2171" s="515">
        <f t="shared" si="761"/>
        <v>0</v>
      </c>
      <c r="B2171" s="478">
        <f t="shared" si="762"/>
        <v>0</v>
      </c>
      <c r="C2171" s="478"/>
      <c r="D2171" s="526">
        <f t="shared" si="763"/>
        <v>0</v>
      </c>
      <c r="E2171" s="470"/>
      <c r="F2171" s="472">
        <f t="shared" si="764"/>
        <v>0</v>
      </c>
      <c r="G2171" s="472">
        <f t="shared" si="765"/>
        <v>0</v>
      </c>
    </row>
    <row r="2172" spans="1:13" ht="19.899999999999999" customHeight="1">
      <c r="A2172" s="515">
        <f t="shared" si="761"/>
        <v>0</v>
      </c>
      <c r="B2172" s="478">
        <f t="shared" si="762"/>
        <v>0</v>
      </c>
      <c r="C2172" s="478"/>
      <c r="D2172" s="526">
        <f t="shared" si="763"/>
        <v>0</v>
      </c>
      <c r="E2172" s="470"/>
      <c r="F2172" s="472">
        <f t="shared" si="764"/>
        <v>0</v>
      </c>
      <c r="G2172" s="472">
        <f t="shared" si="765"/>
        <v>0</v>
      </c>
    </row>
    <row r="2173" spans="1:13" ht="19.899999999999999" customHeight="1">
      <c r="A2173" s="515">
        <f t="shared" si="761"/>
        <v>0</v>
      </c>
      <c r="B2173" s="478">
        <f t="shared" si="762"/>
        <v>0</v>
      </c>
      <c r="C2173" s="478"/>
      <c r="D2173" s="526">
        <f t="shared" si="763"/>
        <v>0</v>
      </c>
      <c r="E2173" s="470"/>
      <c r="F2173" s="472">
        <f t="shared" si="764"/>
        <v>0</v>
      </c>
      <c r="G2173" s="472">
        <f t="shared" si="765"/>
        <v>0</v>
      </c>
    </row>
    <row r="2174" spans="1:13" ht="19.899999999999999" customHeight="1">
      <c r="A2174" s="515">
        <f t="shared" si="761"/>
        <v>0</v>
      </c>
      <c r="B2174" s="478">
        <f t="shared" si="762"/>
        <v>0</v>
      </c>
      <c r="C2174" s="478"/>
      <c r="D2174" s="526">
        <f t="shared" si="763"/>
        <v>0</v>
      </c>
      <c r="E2174" s="470"/>
      <c r="F2174" s="472">
        <f t="shared" si="764"/>
        <v>0</v>
      </c>
      <c r="G2174" s="472">
        <f t="shared" si="765"/>
        <v>0</v>
      </c>
    </row>
    <row r="2175" spans="1:13" ht="19.899999999999999" customHeight="1">
      <c r="A2175" s="515">
        <f t="shared" si="761"/>
        <v>0</v>
      </c>
      <c r="B2175" s="478">
        <f t="shared" si="762"/>
        <v>0</v>
      </c>
      <c r="C2175" s="478"/>
      <c r="D2175" s="526">
        <f t="shared" si="763"/>
        <v>0</v>
      </c>
      <c r="E2175" s="470"/>
      <c r="F2175" s="472">
        <f t="shared" si="764"/>
        <v>0</v>
      </c>
      <c r="G2175" s="472">
        <f t="shared" si="765"/>
        <v>0</v>
      </c>
    </row>
    <row r="2176" spans="1:13" ht="19.899999999999999" customHeight="1">
      <c r="A2176" s="515">
        <f t="shared" si="761"/>
        <v>0</v>
      </c>
      <c r="B2176" s="478">
        <f t="shared" si="762"/>
        <v>0</v>
      </c>
      <c r="C2176" s="478"/>
      <c r="D2176" s="526">
        <f t="shared" si="763"/>
        <v>0</v>
      </c>
      <c r="E2176" s="470"/>
      <c r="F2176" s="472">
        <f t="shared" si="764"/>
        <v>0</v>
      </c>
      <c r="G2176" s="472">
        <f t="shared" si="765"/>
        <v>0</v>
      </c>
    </row>
    <row r="2177" spans="1:8" ht="19.899999999999999" customHeight="1">
      <c r="A2177" s="515">
        <f t="shared" si="761"/>
        <v>0</v>
      </c>
      <c r="B2177" s="478">
        <f t="shared" si="762"/>
        <v>0</v>
      </c>
      <c r="C2177" s="478"/>
      <c r="D2177" s="526">
        <f t="shared" si="763"/>
        <v>0</v>
      </c>
      <c r="E2177" s="470"/>
      <c r="F2177" s="472">
        <f t="shared" si="764"/>
        <v>0</v>
      </c>
      <c r="G2177" s="472">
        <f t="shared" si="765"/>
        <v>0</v>
      </c>
    </row>
    <row r="2178" spans="1:8" ht="19.899999999999999" customHeight="1">
      <c r="A2178" s="515">
        <f t="shared" ref="A2178" si="766">IFERROR(VLOOKUP(C2178,T_Insumos,4,FALSE),0)</f>
        <v>0</v>
      </c>
      <c r="B2178" s="478">
        <f t="shared" ref="B2178" si="767">IFERROR(VLOOKUP(C2178,T_Insumos,5,FALSE),0)</f>
        <v>0</v>
      </c>
      <c r="C2178" s="478"/>
      <c r="D2178" s="526">
        <f t="shared" si="763"/>
        <v>0</v>
      </c>
      <c r="E2178" s="470"/>
      <c r="F2178" s="472">
        <f t="shared" si="764"/>
        <v>0</v>
      </c>
      <c r="G2178" s="472">
        <f t="shared" si="765"/>
        <v>0</v>
      </c>
    </row>
    <row r="2179" spans="1:8" ht="19.899999999999999" customHeight="1">
      <c r="A2179" s="513"/>
      <c r="B2179" s="163"/>
      <c r="C2179" s="163"/>
      <c r="D2179" s="459"/>
      <c r="E2179" s="460"/>
      <c r="F2179" s="481" t="s">
        <v>28</v>
      </c>
      <c r="G2179" s="518">
        <f>SUBTOTAL(9,G2168:G2178)</f>
        <v>0</v>
      </c>
    </row>
    <row r="2180" spans="1:8" ht="19.899999999999999" customHeight="1">
      <c r="A2180" s="513"/>
      <c r="B2180" s="163"/>
      <c r="C2180" s="455" t="s">
        <v>1014</v>
      </c>
      <c r="D2180" s="459"/>
      <c r="E2180" s="460"/>
      <c r="F2180" s="461"/>
      <c r="G2180" s="514"/>
    </row>
    <row r="2181" spans="1:8" ht="19.899999999999999" customHeight="1">
      <c r="A2181" s="677" t="s">
        <v>575</v>
      </c>
      <c r="B2181" s="678"/>
      <c r="C2181" s="679" t="s">
        <v>0</v>
      </c>
      <c r="D2181" s="679" t="s">
        <v>1865</v>
      </c>
      <c r="E2181" s="681" t="s">
        <v>23</v>
      </c>
      <c r="F2181" s="683" t="s">
        <v>24</v>
      </c>
      <c r="G2181" s="685" t="s">
        <v>25</v>
      </c>
    </row>
    <row r="2182" spans="1:8" ht="19.899999999999999" customHeight="1">
      <c r="A2182" s="477" t="s">
        <v>576</v>
      </c>
      <c r="B2182" s="477" t="s">
        <v>577</v>
      </c>
      <c r="C2182" s="680"/>
      <c r="D2182" s="680"/>
      <c r="E2182" s="682"/>
      <c r="F2182" s="684"/>
      <c r="G2182" s="686"/>
    </row>
    <row r="2183" spans="1:8" ht="19.899999999999999" customHeight="1">
      <c r="A2183" s="515">
        <f>IFERROR(VLOOKUP(C2183,T_Insumos,4,FALSE),0)</f>
        <v>0</v>
      </c>
      <c r="B2183" s="478">
        <f>IFERROR(VLOOKUP(C2183,T_Insumos,5,FALSE),0)</f>
        <v>0</v>
      </c>
      <c r="C2183" s="469"/>
      <c r="D2183" s="526">
        <f>IF(C2183=0,0,"$/tnkm")</f>
        <v>0</v>
      </c>
      <c r="E2183" s="470"/>
      <c r="F2183" s="472">
        <f>IFERROR(VLOOKUP(C2183,T_Insumos,3,FALSE),0)</f>
        <v>0</v>
      </c>
      <c r="G2183" s="472">
        <f>ROUND(E2183*F2183,2)</f>
        <v>0</v>
      </c>
    </row>
    <row r="2184" spans="1:8" ht="19.899999999999999" customHeight="1">
      <c r="A2184" s="515">
        <f>IFERROR(VLOOKUP(C2184,T_Insumos,4,FALSE),0)</f>
        <v>0</v>
      </c>
      <c r="B2184" s="478">
        <f>IFERROR(VLOOKUP(C2184,T_Insumos,5,FALSE),0)</f>
        <v>0</v>
      </c>
      <c r="C2184" s="469"/>
      <c r="D2184" s="526">
        <f>IF(C2184=0,0,"$/tnkm")</f>
        <v>0</v>
      </c>
      <c r="E2184" s="486"/>
      <c r="F2184" s="472">
        <f>IFERROR(VLOOKUP(C2184,T_Insumos,3,FALSE),0)</f>
        <v>0</v>
      </c>
      <c r="G2184" s="472">
        <f t="shared" ref="G2184" si="768">ROUND(E2184*F2184,2)</f>
        <v>0</v>
      </c>
    </row>
    <row r="2185" spans="1:8" ht="19.899999999999999" customHeight="1">
      <c r="A2185" s="513"/>
      <c r="B2185" s="163"/>
      <c r="C2185" s="163"/>
      <c r="D2185" s="459"/>
      <c r="E2185" s="460"/>
      <c r="F2185" s="481" t="s">
        <v>1015</v>
      </c>
      <c r="G2185" s="518">
        <f>SUBTOTAL(9,G2183:G2184)</f>
        <v>0</v>
      </c>
      <c r="H2185" s="60"/>
    </row>
    <row r="2186" spans="1:8" ht="19.899999999999999" customHeight="1">
      <c r="A2186" s="516"/>
      <c r="B2186" s="459"/>
      <c r="C2186" s="163"/>
      <c r="D2186" s="459"/>
      <c r="E2186" s="460"/>
      <c r="F2186" s="461"/>
      <c r="G2186" s="514"/>
      <c r="H2186" s="60"/>
    </row>
    <row r="2187" spans="1:8" ht="19.899999999999999" customHeight="1">
      <c r="A2187" s="574" t="str">
        <f>B2121</f>
        <v>5.2.7</v>
      </c>
      <c r="B2187" s="571" t="str">
        <f ca="1">C2121</f>
        <v>Grava de asiento</v>
      </c>
      <c r="C2187" s="459"/>
      <c r="D2187" s="459" t="s">
        <v>1831</v>
      </c>
      <c r="E2187" s="572"/>
      <c r="F2187" s="573" t="str">
        <f ca="1">"$/"&amp;G2121</f>
        <v>$/m3</v>
      </c>
      <c r="G2187" s="523">
        <f>SUBTOTAL(9,G2144:G2186)</f>
        <v>0</v>
      </c>
      <c r="H2187" s="60"/>
    </row>
    <row r="2188" spans="1:8" ht="19.899999999999999" customHeight="1">
      <c r="A2188" s="519"/>
      <c r="B2188" s="520"/>
      <c r="C2188" s="521"/>
      <c r="D2188" s="521" t="s">
        <v>2041</v>
      </c>
      <c r="E2188" s="522"/>
      <c r="F2188" s="575" t="str">
        <f ca="1">"$/"&amp;G2121</f>
        <v>$/m3</v>
      </c>
      <c r="G2188" s="523">
        <f>ROUND(G2187*Coeficiente_Paso,2)</f>
        <v>0</v>
      </c>
      <c r="H2188" s="60"/>
    </row>
    <row r="2189" spans="1:8" ht="19.899999999999999" customHeight="1">
      <c r="A2189" s="163"/>
      <c r="B2189" s="163"/>
      <c r="C2189" s="163"/>
      <c r="D2189" s="163"/>
      <c r="E2189" s="163"/>
      <c r="F2189" s="163"/>
      <c r="G2189" s="163"/>
      <c r="H2189" s="60"/>
    </row>
    <row r="2190" spans="1:8" ht="19.899999999999999" customHeight="1">
      <c r="A2190" s="687" t="s">
        <v>30</v>
      </c>
      <c r="B2190" s="688"/>
      <c r="C2190" s="688"/>
      <c r="D2190" s="688"/>
      <c r="E2190" s="688"/>
      <c r="F2190" s="688"/>
      <c r="G2190" s="689"/>
    </row>
    <row r="2191" spans="1:8" ht="19.899999999999999" customHeight="1">
      <c r="A2191" s="502" t="s">
        <v>710</v>
      </c>
      <c r="B2191" s="453" t="str">
        <f>Comitente</f>
        <v>DEPARTAMENTO DE HIDRAULICA</v>
      </c>
      <c r="C2191" s="454"/>
      <c r="D2191" s="455"/>
      <c r="E2191" s="455"/>
      <c r="F2191" s="456"/>
      <c r="G2191" s="503"/>
    </row>
    <row r="2192" spans="1:8" ht="19.899999999999999" customHeight="1">
      <c r="A2192" s="502" t="s">
        <v>711</v>
      </c>
      <c r="B2192" s="453">
        <f>Contratista</f>
        <v>0</v>
      </c>
      <c r="C2192" s="457"/>
      <c r="D2192" s="457"/>
      <c r="E2192" s="457"/>
      <c r="F2192" s="453"/>
      <c r="G2192" s="504"/>
    </row>
    <row r="2193" spans="1:7" ht="19.899999999999999" customHeight="1">
      <c r="A2193" s="502" t="s">
        <v>20</v>
      </c>
      <c r="B2193" s="453" t="str">
        <f>Obra</f>
        <v>MEJORA DE LA RED DE RIEGO DEL VALLE DE JÁCHAL</v>
      </c>
      <c r="C2193" s="457"/>
      <c r="D2193" s="457"/>
      <c r="E2193" s="457"/>
      <c r="F2193" s="453" t="s">
        <v>31</v>
      </c>
      <c r="G2193" s="504" t="str">
        <f>Fecha_Base</f>
        <v>XX/07/2020</v>
      </c>
    </row>
    <row r="2194" spans="1:7" ht="19.899999999999999" customHeight="1">
      <c r="A2194" s="505" t="s">
        <v>709</v>
      </c>
      <c r="B2194" s="458" t="str">
        <f>Ubicación</f>
        <v>JACHAL</v>
      </c>
      <c r="C2194" s="458"/>
      <c r="D2194" s="459"/>
      <c r="E2194" s="460"/>
      <c r="F2194" s="461"/>
      <c r="G2194" s="506"/>
    </row>
    <row r="2195" spans="1:7" ht="19.899999999999999" customHeight="1">
      <c r="A2195" s="505" t="s">
        <v>32</v>
      </c>
      <c r="B2195" s="462">
        <f>IFERROR(VALUE(LEFT(B2196,FIND(".",B2196)-1)),"")</f>
        <v>5</v>
      </c>
      <c r="C2195" s="163" t="str">
        <f ca="1">IFERROR(VLOOKUP(B2195,T_Computo_Presupuesto,2,FALSE),0)</f>
        <v>CANAL MATRIZ</v>
      </c>
      <c r="D2195" s="163"/>
      <c r="E2195" s="460"/>
      <c r="F2195" s="461"/>
      <c r="G2195" s="506"/>
    </row>
    <row r="2196" spans="1:7" ht="19.899999999999999" customHeight="1">
      <c r="A2196" s="505" t="s">
        <v>21</v>
      </c>
      <c r="B2196" s="463" t="str">
        <f>IFERROR(VLOOKUP(COUNTIF($A$1:A2196,"ANALISIS DE PRECIOS"),T_NumeroItem,2,FALSE),"")</f>
        <v>5.2.8</v>
      </c>
      <c r="C2196" s="690" t="str">
        <f ca="1">IFERROR(VLOOKUP(B2196,T_Computo_Presupuesto,2,FALSE),0)</f>
        <v>Hormigón de limpieza</v>
      </c>
      <c r="D2196" s="690"/>
      <c r="E2196" s="690"/>
      <c r="F2196" s="458" t="s">
        <v>22</v>
      </c>
      <c r="G2196" s="507" t="str">
        <f ca="1">IFERROR(VLOOKUP(B2196,T_Computo_Presupuesto,4,FALSE),0)</f>
        <v>m3</v>
      </c>
    </row>
    <row r="2197" spans="1:7" ht="19.899999999999999" customHeight="1">
      <c r="A2197" s="505"/>
      <c r="B2197" s="458"/>
      <c r="C2197" s="163"/>
      <c r="D2197" s="459"/>
      <c r="E2197" s="460"/>
      <c r="F2197" s="163"/>
      <c r="G2197" s="508"/>
    </row>
    <row r="2198" spans="1:7" ht="19.899999999999999" customHeight="1">
      <c r="A2198" s="509"/>
      <c r="B2198" s="464"/>
      <c r="C2198" s="465" t="s">
        <v>998</v>
      </c>
      <c r="D2198" s="464"/>
      <c r="E2198" s="464"/>
      <c r="F2198" s="464"/>
      <c r="G2198" s="510"/>
    </row>
    <row r="2199" spans="1:7" ht="19.899999999999999" customHeight="1">
      <c r="A2199" s="505"/>
      <c r="B2199" s="466"/>
      <c r="C2199" s="163"/>
      <c r="D2199" s="459"/>
      <c r="E2199" s="460"/>
      <c r="F2199" s="458"/>
      <c r="G2199" s="507"/>
    </row>
    <row r="2200" spans="1:7" ht="19.899999999999999" customHeight="1">
      <c r="A2200" s="505"/>
      <c r="B2200" s="466"/>
      <c r="C2200" s="467" t="s">
        <v>999</v>
      </c>
      <c r="D2200" s="468" t="s">
        <v>23</v>
      </c>
      <c r="E2200" s="468" t="s">
        <v>1000</v>
      </c>
      <c r="F2200" s="468" t="s">
        <v>1001</v>
      </c>
      <c r="G2200" s="467" t="s">
        <v>1002</v>
      </c>
    </row>
    <row r="2201" spans="1:7" ht="19.899999999999999" customHeight="1">
      <c r="A2201" s="505"/>
      <c r="B2201" s="466"/>
      <c r="C2201" s="469"/>
      <c r="D2201" s="470"/>
      <c r="E2201" s="471">
        <f t="shared" ref="E2201:E2210" si="769">IFERROR(VLOOKUP(C2201,T_Equipos,4,FALSE),0)</f>
        <v>0</v>
      </c>
      <c r="F2201" s="472">
        <f t="shared" ref="F2201:F2210" si="770">IFERROR(VLOOKUP(C2201,T_Equipos,5,FALSE),0)</f>
        <v>0</v>
      </c>
      <c r="G2201" s="472">
        <f>ROUND(D2201*F2201,2)</f>
        <v>0</v>
      </c>
    </row>
    <row r="2202" spans="1:7" ht="19.899999999999999" customHeight="1">
      <c r="A2202" s="505"/>
      <c r="B2202" s="466"/>
      <c r="C2202" s="469"/>
      <c r="D2202" s="470"/>
      <c r="E2202" s="471">
        <f t="shared" si="769"/>
        <v>0</v>
      </c>
      <c r="F2202" s="472">
        <f t="shared" si="770"/>
        <v>0</v>
      </c>
      <c r="G2202" s="472">
        <f>ROUND(D2202*F2202,2)</f>
        <v>0</v>
      </c>
    </row>
    <row r="2203" spans="1:7" ht="19.899999999999999" customHeight="1">
      <c r="A2203" s="505"/>
      <c r="B2203" s="466"/>
      <c r="C2203" s="469"/>
      <c r="D2203" s="470"/>
      <c r="E2203" s="471">
        <f t="shared" si="769"/>
        <v>0</v>
      </c>
      <c r="F2203" s="472">
        <f t="shared" si="770"/>
        <v>0</v>
      </c>
      <c r="G2203" s="472">
        <f>ROUND(D2203*F2203,2)</f>
        <v>0</v>
      </c>
    </row>
    <row r="2204" spans="1:7" ht="19.899999999999999" customHeight="1">
      <c r="A2204" s="505"/>
      <c r="B2204" s="466"/>
      <c r="C2204" s="469"/>
      <c r="D2204" s="470"/>
      <c r="E2204" s="471">
        <f t="shared" si="769"/>
        <v>0</v>
      </c>
      <c r="F2204" s="472">
        <f t="shared" si="770"/>
        <v>0</v>
      </c>
      <c r="G2204" s="472">
        <f>ROUND(D2204*F2204,2)</f>
        <v>0</v>
      </c>
    </row>
    <row r="2205" spans="1:7" ht="19.899999999999999" customHeight="1">
      <c r="A2205" s="505"/>
      <c r="B2205" s="466"/>
      <c r="C2205" s="469"/>
      <c r="D2205" s="470"/>
      <c r="E2205" s="471">
        <f t="shared" si="769"/>
        <v>0</v>
      </c>
      <c r="F2205" s="472">
        <f t="shared" si="770"/>
        <v>0</v>
      </c>
      <c r="G2205" s="472">
        <f t="shared" ref="G2205:G2210" si="771">ROUND(D2205*F2205,2)</f>
        <v>0</v>
      </c>
    </row>
    <row r="2206" spans="1:7" ht="19.899999999999999" customHeight="1">
      <c r="A2206" s="505"/>
      <c r="B2206" s="466"/>
      <c r="C2206" s="469"/>
      <c r="D2206" s="470"/>
      <c r="E2206" s="471">
        <f t="shared" si="769"/>
        <v>0</v>
      </c>
      <c r="F2206" s="472">
        <f t="shared" si="770"/>
        <v>0</v>
      </c>
      <c r="G2206" s="472">
        <f t="shared" si="771"/>
        <v>0</v>
      </c>
    </row>
    <row r="2207" spans="1:7" ht="19.899999999999999" customHeight="1">
      <c r="A2207" s="505"/>
      <c r="B2207" s="466"/>
      <c r="C2207" s="469"/>
      <c r="D2207" s="470"/>
      <c r="E2207" s="471">
        <f t="shared" si="769"/>
        <v>0</v>
      </c>
      <c r="F2207" s="472">
        <f t="shared" si="770"/>
        <v>0</v>
      </c>
      <c r="G2207" s="472">
        <f t="shared" si="771"/>
        <v>0</v>
      </c>
    </row>
    <row r="2208" spans="1:7" ht="19.899999999999999" customHeight="1">
      <c r="A2208" s="505"/>
      <c r="B2208" s="466"/>
      <c r="C2208" s="469"/>
      <c r="D2208" s="470"/>
      <c r="E2208" s="471">
        <f t="shared" si="769"/>
        <v>0</v>
      </c>
      <c r="F2208" s="472">
        <f t="shared" si="770"/>
        <v>0</v>
      </c>
      <c r="G2208" s="472">
        <f t="shared" si="771"/>
        <v>0</v>
      </c>
    </row>
    <row r="2209" spans="1:7" ht="19.899999999999999" customHeight="1">
      <c r="A2209" s="505"/>
      <c r="B2209" s="466"/>
      <c r="C2209" s="469"/>
      <c r="D2209" s="470"/>
      <c r="E2209" s="471">
        <f t="shared" si="769"/>
        <v>0</v>
      </c>
      <c r="F2209" s="472">
        <f t="shared" si="770"/>
        <v>0</v>
      </c>
      <c r="G2209" s="472">
        <f t="shared" si="771"/>
        <v>0</v>
      </c>
    </row>
    <row r="2210" spans="1:7" ht="19.899999999999999" customHeight="1">
      <c r="A2210" s="505"/>
      <c r="B2210" s="466"/>
      <c r="C2210" s="469"/>
      <c r="D2210" s="470"/>
      <c r="E2210" s="471">
        <f t="shared" si="769"/>
        <v>0</v>
      </c>
      <c r="F2210" s="472">
        <f t="shared" si="770"/>
        <v>0</v>
      </c>
      <c r="G2210" s="472">
        <f t="shared" si="771"/>
        <v>0</v>
      </c>
    </row>
    <row r="2211" spans="1:7" ht="19.899999999999999" customHeight="1">
      <c r="A2211" s="505"/>
      <c r="B2211" s="466"/>
      <c r="C2211" s="163"/>
      <c r="D2211" s="163"/>
      <c r="E2211" s="473"/>
      <c r="F2211" s="458"/>
      <c r="G2211" s="507"/>
    </row>
    <row r="2212" spans="1:7" ht="19.899999999999999" customHeight="1">
      <c r="A2212" s="505"/>
      <c r="B2212" s="163"/>
      <c r="C2212" s="455" t="s">
        <v>1003</v>
      </c>
      <c r="D2212" s="458" t="s">
        <v>1000</v>
      </c>
      <c r="E2212" s="524">
        <f>SUMPRODUCT(D2201:D2210,E2201:E2210)</f>
        <v>0</v>
      </c>
      <c r="F2212" s="458" t="s">
        <v>1004</v>
      </c>
      <c r="G2212" s="525">
        <f>SUM(G2201:G2210)</f>
        <v>0</v>
      </c>
    </row>
    <row r="2213" spans="1:7" ht="19.899999999999999" customHeight="1">
      <c r="A2213" s="505"/>
      <c r="B2213" s="466"/>
      <c r="C2213" s="474"/>
      <c r="D2213" s="473"/>
      <c r="E2213" s="460"/>
      <c r="F2213" s="458"/>
      <c r="G2213" s="511"/>
    </row>
    <row r="2214" spans="1:7" ht="19.899999999999999" customHeight="1">
      <c r="A2214" s="512"/>
      <c r="B2214" s="466"/>
      <c r="C2214" s="458" t="s">
        <v>1005</v>
      </c>
      <c r="D2214" s="475"/>
      <c r="E2214" s="476" t="str">
        <f ca="1">G2196&amp;"/día"</f>
        <v>m3/día</v>
      </c>
      <c r="F2214" s="452"/>
      <c r="G2214" s="507"/>
    </row>
    <row r="2215" spans="1:7" ht="19.899999999999999" customHeight="1">
      <c r="A2215" s="505"/>
      <c r="B2215" s="466"/>
      <c r="C2215" s="163"/>
      <c r="D2215" s="459"/>
      <c r="E2215" s="460"/>
      <c r="F2215" s="458"/>
      <c r="G2215" s="507"/>
    </row>
    <row r="2216" spans="1:7" ht="19.899999999999999" customHeight="1">
      <c r="A2216" s="677" t="s">
        <v>575</v>
      </c>
      <c r="B2216" s="678"/>
      <c r="C2216" s="679" t="s">
        <v>0</v>
      </c>
      <c r="D2216" s="691" t="s">
        <v>1864</v>
      </c>
      <c r="E2216" s="691" t="s">
        <v>1863</v>
      </c>
      <c r="F2216" s="683" t="s">
        <v>1006</v>
      </c>
      <c r="G2216" s="685" t="s">
        <v>25</v>
      </c>
    </row>
    <row r="2217" spans="1:7" ht="19.899999999999999" customHeight="1">
      <c r="A2217" s="477" t="s">
        <v>576</v>
      </c>
      <c r="B2217" s="477" t="s">
        <v>577</v>
      </c>
      <c r="C2217" s="680"/>
      <c r="D2217" s="692"/>
      <c r="E2217" s="682"/>
      <c r="F2217" s="684"/>
      <c r="G2217" s="686"/>
    </row>
    <row r="2218" spans="1:7" ht="19.899999999999999" customHeight="1">
      <c r="A2218" s="513"/>
      <c r="B2218" s="163"/>
      <c r="C2218" s="455" t="s">
        <v>1007</v>
      </c>
      <c r="D2218" s="460"/>
      <c r="E2218" s="460"/>
      <c r="F2218" s="163"/>
      <c r="G2218" s="514"/>
    </row>
    <row r="2219" spans="1:7" ht="19.899999999999999" customHeight="1">
      <c r="A2219" s="515">
        <f t="shared" ref="A2219:A2227" si="772">IFERROR(VLOOKUP(C2219,T_Insumos,4,FALSE),0)</f>
        <v>0</v>
      </c>
      <c r="B2219" s="478">
        <f t="shared" ref="B2219:B2227" si="773">IFERROR(VLOOKUP(C2219,T_Insumos,5,FALSE),0)</f>
        <v>0</v>
      </c>
      <c r="C2219" s="469"/>
      <c r="D2219" s="479">
        <f t="shared" ref="D2219:D2227" si="774">IFERROR(VLOOKUP(C2219,T_Insumos,3,FALSE),0)</f>
        <v>0</v>
      </c>
      <c r="E2219" s="472">
        <f>D2219*$G$23</f>
        <v>0</v>
      </c>
      <c r="F2219" s="475">
        <f>IF(C2219="",0,IFERROR(VLOOKUP(COUNTIF($A$1:A2219,"ANALISIS DE PRECIOS"),T_Rendimiento_Equipo,5,FALSE),0))</f>
        <v>0</v>
      </c>
      <c r="G2219" s="472">
        <f>IFERROR(ROUND(E2219/F2219,2),0)</f>
        <v>0</v>
      </c>
    </row>
    <row r="2220" spans="1:7" ht="19.899999999999999" customHeight="1">
      <c r="A2220" s="515">
        <f t="shared" si="772"/>
        <v>0</v>
      </c>
      <c r="B2220" s="478">
        <f t="shared" si="773"/>
        <v>0</v>
      </c>
      <c r="C2220" s="469"/>
      <c r="D2220" s="479">
        <f t="shared" si="774"/>
        <v>0</v>
      </c>
      <c r="E2220" s="472">
        <f t="shared" ref="E2220:E2227" si="775">D2220*$G$23</f>
        <v>0</v>
      </c>
      <c r="F2220" s="475">
        <f>IF(C2220="",0,IFERROR(VLOOKUP(COUNTIF($A$1:A2220,"ANALISIS DE PRECIOS"),T_Rendimiento_Equipo,5,FALSE),0))</f>
        <v>0</v>
      </c>
      <c r="G2220" s="472">
        <f t="shared" ref="G2220:G2227" si="776">IFERROR(ROUND(E2220/F2220,2),0)</f>
        <v>0</v>
      </c>
    </row>
    <row r="2221" spans="1:7" ht="19.899999999999999" customHeight="1">
      <c r="A2221" s="515">
        <f t="shared" si="772"/>
        <v>0</v>
      </c>
      <c r="B2221" s="478">
        <f t="shared" si="773"/>
        <v>0</v>
      </c>
      <c r="C2221" s="480"/>
      <c r="D2221" s="479">
        <f t="shared" si="774"/>
        <v>0</v>
      </c>
      <c r="E2221" s="472">
        <f t="shared" si="775"/>
        <v>0</v>
      </c>
      <c r="F2221" s="475">
        <f>IF(C2221="",0,IFERROR(VLOOKUP(COUNTIF($A$1:A2221,"ANALISIS DE PRECIOS"),T_Rendimiento_Equipo,5,FALSE),0))</f>
        <v>0</v>
      </c>
      <c r="G2221" s="472">
        <f t="shared" si="776"/>
        <v>0</v>
      </c>
    </row>
    <row r="2222" spans="1:7" ht="19.899999999999999" customHeight="1">
      <c r="A2222" s="515">
        <f t="shared" si="772"/>
        <v>0</v>
      </c>
      <c r="B2222" s="478">
        <f t="shared" si="773"/>
        <v>0</v>
      </c>
      <c r="C2222" s="480"/>
      <c r="D2222" s="479">
        <f t="shared" si="774"/>
        <v>0</v>
      </c>
      <c r="E2222" s="472">
        <f t="shared" si="775"/>
        <v>0</v>
      </c>
      <c r="F2222" s="475">
        <f>IF(C2222="",0,IFERROR(VLOOKUP(COUNTIF($A$1:A2222,"ANALISIS DE PRECIOS"),T_Rendimiento_Equipo,5,FALSE),0))</f>
        <v>0</v>
      </c>
      <c r="G2222" s="472">
        <f t="shared" si="776"/>
        <v>0</v>
      </c>
    </row>
    <row r="2223" spans="1:7" ht="19.899999999999999" customHeight="1">
      <c r="A2223" s="515">
        <f t="shared" si="772"/>
        <v>0</v>
      </c>
      <c r="B2223" s="478">
        <f t="shared" si="773"/>
        <v>0</v>
      </c>
      <c r="C2223" s="480"/>
      <c r="D2223" s="479">
        <f t="shared" si="774"/>
        <v>0</v>
      </c>
      <c r="E2223" s="472">
        <f t="shared" si="775"/>
        <v>0</v>
      </c>
      <c r="F2223" s="475">
        <f>IF(C2223="",0,IFERROR(VLOOKUP(COUNTIF($A$1:A2223,"ANALISIS DE PRECIOS"),T_Rendimiento_Equipo,5,FALSE),0))</f>
        <v>0</v>
      </c>
      <c r="G2223" s="472">
        <f t="shared" si="776"/>
        <v>0</v>
      </c>
    </row>
    <row r="2224" spans="1:7" ht="19.899999999999999" customHeight="1">
      <c r="A2224" s="515">
        <f t="shared" si="772"/>
        <v>0</v>
      </c>
      <c r="B2224" s="478">
        <f t="shared" si="773"/>
        <v>0</v>
      </c>
      <c r="C2224" s="480"/>
      <c r="D2224" s="479">
        <f t="shared" si="774"/>
        <v>0</v>
      </c>
      <c r="E2224" s="472">
        <f t="shared" si="775"/>
        <v>0</v>
      </c>
      <c r="F2224" s="475">
        <f>IF(C2224="",0,IFERROR(VLOOKUP(COUNTIF($A$1:A2224,"ANALISIS DE PRECIOS"),T_Rendimiento_Equipo,5,FALSE),0))</f>
        <v>0</v>
      </c>
      <c r="G2224" s="472">
        <f t="shared" si="776"/>
        <v>0</v>
      </c>
    </row>
    <row r="2225" spans="1:7" ht="19.899999999999999" customHeight="1">
      <c r="A2225" s="515">
        <f t="shared" si="772"/>
        <v>0</v>
      </c>
      <c r="B2225" s="478">
        <f t="shared" si="773"/>
        <v>0</v>
      </c>
      <c r="C2225" s="480"/>
      <c r="D2225" s="479">
        <f t="shared" si="774"/>
        <v>0</v>
      </c>
      <c r="E2225" s="472">
        <f t="shared" si="775"/>
        <v>0</v>
      </c>
      <c r="F2225" s="475">
        <f>IF(C2225="",0,IFERROR(VLOOKUP(COUNTIF($A$1:A2225,"ANALISIS DE PRECIOS"),T_Rendimiento_Equipo,5,FALSE),0))</f>
        <v>0</v>
      </c>
      <c r="G2225" s="472">
        <f t="shared" si="776"/>
        <v>0</v>
      </c>
    </row>
    <row r="2226" spans="1:7" ht="19.899999999999999" customHeight="1">
      <c r="A2226" s="515">
        <f t="shared" si="772"/>
        <v>0</v>
      </c>
      <c r="B2226" s="478">
        <f t="shared" si="773"/>
        <v>0</v>
      </c>
      <c r="C2226" s="480"/>
      <c r="D2226" s="479">
        <f t="shared" si="774"/>
        <v>0</v>
      </c>
      <c r="E2226" s="472">
        <f t="shared" si="775"/>
        <v>0</v>
      </c>
      <c r="F2226" s="475">
        <f>IF(C2226="",0,IFERROR(VLOOKUP(COUNTIF($A$1:A2226,"ANALISIS DE PRECIOS"),T_Rendimiento_Equipo,5,FALSE),0))</f>
        <v>0</v>
      </c>
      <c r="G2226" s="472">
        <f t="shared" si="776"/>
        <v>0</v>
      </c>
    </row>
    <row r="2227" spans="1:7" ht="19.899999999999999" customHeight="1">
      <c r="A2227" s="515">
        <f t="shared" si="772"/>
        <v>0</v>
      </c>
      <c r="B2227" s="478">
        <f t="shared" si="773"/>
        <v>0</v>
      </c>
      <c r="C2227" s="469"/>
      <c r="D2227" s="479">
        <f t="shared" si="774"/>
        <v>0</v>
      </c>
      <c r="E2227" s="472">
        <f t="shared" si="775"/>
        <v>0</v>
      </c>
      <c r="F2227" s="475">
        <f>IF(C2227="",0,IFERROR(VLOOKUP(COUNTIF($A$1:A2227,"ANALISIS DE PRECIOS"),T_Rendimiento_Equipo,5,FALSE),0))</f>
        <v>0</v>
      </c>
      <c r="G2227" s="472">
        <f t="shared" si="776"/>
        <v>0</v>
      </c>
    </row>
    <row r="2228" spans="1:7" ht="19.899999999999999" customHeight="1">
      <c r="A2228" s="516"/>
      <c r="B2228" s="459"/>
      <c r="C2228" s="163"/>
      <c r="D2228" s="459"/>
      <c r="E2228" s="460"/>
      <c r="F2228" s="481" t="s">
        <v>26</v>
      </c>
      <c r="G2228" s="517">
        <f>SUBTOTAL(9,G2219:G2227)</f>
        <v>0</v>
      </c>
    </row>
    <row r="2229" spans="1:7" ht="19.899999999999999" customHeight="1">
      <c r="A2229" s="513"/>
      <c r="B2229" s="163"/>
      <c r="C2229" s="455" t="s">
        <v>712</v>
      </c>
      <c r="D2229" s="459"/>
      <c r="E2229" s="460"/>
      <c r="F2229" s="461"/>
      <c r="G2229" s="514"/>
    </row>
    <row r="2230" spans="1:7" ht="19.899999999999999" customHeight="1">
      <c r="A2230" s="677" t="s">
        <v>575</v>
      </c>
      <c r="B2230" s="678"/>
      <c r="C2230" s="679" t="s">
        <v>0</v>
      </c>
      <c r="D2230" s="681" t="s">
        <v>23</v>
      </c>
      <c r="E2230" s="681" t="s">
        <v>1830</v>
      </c>
      <c r="F2230" s="683" t="s">
        <v>1006</v>
      </c>
      <c r="G2230" s="685" t="s">
        <v>25</v>
      </c>
    </row>
    <row r="2231" spans="1:7" ht="19.899999999999999" customHeight="1">
      <c r="A2231" s="477" t="s">
        <v>576</v>
      </c>
      <c r="B2231" s="477" t="s">
        <v>577</v>
      </c>
      <c r="C2231" s="680"/>
      <c r="D2231" s="682"/>
      <c r="E2231" s="682"/>
      <c r="F2231" s="684"/>
      <c r="G2231" s="686"/>
    </row>
    <row r="2232" spans="1:7" ht="19.899999999999999" customHeight="1">
      <c r="A2232" s="515">
        <f t="shared" ref="A2232:A2238" si="777">IFERROR(VLOOKUP(C2232,T_Insumos,4,FALSE),0)</f>
        <v>0</v>
      </c>
      <c r="B2232" s="478">
        <f t="shared" ref="B2232:B2238" si="778">IFERROR(VLOOKUP(C2232,T_Insumos,5,FALSE),0)</f>
        <v>0</v>
      </c>
      <c r="C2232" s="482"/>
      <c r="D2232" s="475"/>
      <c r="E2232" s="472">
        <f t="shared" ref="E2232:E2237" si="779">IFERROR(VLOOKUP(C2232,T_Insumos,3,FALSE),0)</f>
        <v>0</v>
      </c>
      <c r="F2232" s="475">
        <f>IF(C2232="",0,IFERROR(VLOOKUP(COUNTIF($A$1:A2232,"ANALISIS DE PRECIOS"),T_Rendimiento_Equipo,5,FALSE),0))</f>
        <v>0</v>
      </c>
      <c r="G2232" s="472">
        <f>IFERROR(ROUND(D2232*E2232/F2232,2),0)</f>
        <v>0</v>
      </c>
    </row>
    <row r="2233" spans="1:7" ht="19.899999999999999" customHeight="1">
      <c r="A2233" s="515">
        <f t="shared" si="777"/>
        <v>0</v>
      </c>
      <c r="B2233" s="478">
        <f t="shared" si="778"/>
        <v>0</v>
      </c>
      <c r="C2233" s="469"/>
      <c r="D2233" s="475"/>
      <c r="E2233" s="472">
        <f t="shared" si="779"/>
        <v>0</v>
      </c>
      <c r="F2233" s="475">
        <f>IF(C2233="",0,IFERROR(VLOOKUP(COUNTIF($A$1:A2233,"ANALISIS DE PRECIOS"),T_Rendimiento_Equipo,5,FALSE),0))</f>
        <v>0</v>
      </c>
      <c r="G2233" s="472">
        <f t="shared" ref="G2233:G2238" si="780">IFERROR(ROUND(D2233*E2233/F2233,2),0)</f>
        <v>0</v>
      </c>
    </row>
    <row r="2234" spans="1:7" ht="19.899999999999999" customHeight="1">
      <c r="A2234" s="515">
        <f t="shared" si="777"/>
        <v>0</v>
      </c>
      <c r="B2234" s="478">
        <f t="shared" si="778"/>
        <v>0</v>
      </c>
      <c r="C2234" s="469"/>
      <c r="D2234" s="475"/>
      <c r="E2234" s="472">
        <f t="shared" si="779"/>
        <v>0</v>
      </c>
      <c r="F2234" s="475">
        <f>IF(C2234="",0,IFERROR(VLOOKUP(COUNTIF($A$1:A2234,"ANALISIS DE PRECIOS"),T_Rendimiento_Equipo,5,FALSE),0))</f>
        <v>0</v>
      </c>
      <c r="G2234" s="472">
        <f t="shared" si="780"/>
        <v>0</v>
      </c>
    </row>
    <row r="2235" spans="1:7" ht="19.899999999999999" customHeight="1">
      <c r="A2235" s="515">
        <f t="shared" si="777"/>
        <v>0</v>
      </c>
      <c r="B2235" s="478">
        <f t="shared" si="778"/>
        <v>0</v>
      </c>
      <c r="C2235" s="469"/>
      <c r="D2235" s="475"/>
      <c r="E2235" s="472">
        <f t="shared" si="779"/>
        <v>0</v>
      </c>
      <c r="F2235" s="475">
        <f>IF(C2235="",0,IFERROR(VLOOKUP(COUNTIF($A$1:A2235,"ANALISIS DE PRECIOS"),T_Rendimiento_Equipo,5,FALSE),0))</f>
        <v>0</v>
      </c>
      <c r="G2235" s="472">
        <f t="shared" si="780"/>
        <v>0</v>
      </c>
    </row>
    <row r="2236" spans="1:7" ht="19.899999999999999" customHeight="1">
      <c r="A2236" s="515">
        <f t="shared" si="777"/>
        <v>0</v>
      </c>
      <c r="B2236" s="478">
        <f t="shared" si="778"/>
        <v>0</v>
      </c>
      <c r="C2236" s="469"/>
      <c r="D2236" s="475"/>
      <c r="E2236" s="472">
        <f t="shared" si="779"/>
        <v>0</v>
      </c>
      <c r="F2236" s="475">
        <f>IF(C2236="",0,IFERROR(VLOOKUP(COUNTIF($A$1:A2236,"ANALISIS DE PRECIOS"),T_Rendimiento_Equipo,5,FALSE),0))</f>
        <v>0</v>
      </c>
      <c r="G2236" s="472">
        <f t="shared" si="780"/>
        <v>0</v>
      </c>
    </row>
    <row r="2237" spans="1:7" ht="19.899999999999999" customHeight="1">
      <c r="A2237" s="515">
        <f t="shared" si="777"/>
        <v>0</v>
      </c>
      <c r="B2237" s="478">
        <f t="shared" si="778"/>
        <v>0</v>
      </c>
      <c r="C2237" s="469"/>
      <c r="D2237" s="483"/>
      <c r="E2237" s="472">
        <f t="shared" si="779"/>
        <v>0</v>
      </c>
      <c r="F2237" s="475">
        <f>IF(C2237="",0,IFERROR(VLOOKUP(COUNTIF($A$1:A2237,"ANALISIS DE PRECIOS"),T_Rendimiento_Equipo,5,FALSE),0))</f>
        <v>0</v>
      </c>
      <c r="G2237" s="472">
        <f t="shared" si="780"/>
        <v>0</v>
      </c>
    </row>
    <row r="2238" spans="1:7" ht="19.899999999999999" customHeight="1">
      <c r="A2238" s="515">
        <f t="shared" si="777"/>
        <v>0</v>
      </c>
      <c r="B2238" s="478">
        <f t="shared" si="778"/>
        <v>0</v>
      </c>
      <c r="C2238" s="478"/>
      <c r="D2238" s="484"/>
      <c r="E2238" s="472">
        <f t="shared" ref="E2238" si="781">IFERROR(VLOOKUP(C2238,T_Insumos,3,FALSE),0)</f>
        <v>0</v>
      </c>
      <c r="F2238" s="475">
        <f>IF(C2238="",0,IFERROR(VLOOKUP(COUNTIF($A$1:A2238,"ANALISIS DE PRECIOS"),T_Rendimiento_Equipo,5,FALSE),0))</f>
        <v>0</v>
      </c>
      <c r="G2238" s="472">
        <f t="shared" si="780"/>
        <v>0</v>
      </c>
    </row>
    <row r="2239" spans="1:7" ht="19.899999999999999" customHeight="1">
      <c r="A2239" s="516"/>
      <c r="B2239" s="459"/>
      <c r="C2239" s="163"/>
      <c r="D2239" s="459"/>
      <c r="E2239" s="460"/>
      <c r="F2239" s="481" t="s">
        <v>27</v>
      </c>
      <c r="G2239" s="518">
        <f>SUBTOTAL(9,G2232:G2238)</f>
        <v>0</v>
      </c>
    </row>
    <row r="2240" spans="1:7" ht="19.899999999999999" customHeight="1">
      <c r="A2240" s="513"/>
      <c r="B2240" s="163"/>
      <c r="C2240" s="455" t="s">
        <v>1013</v>
      </c>
      <c r="D2240" s="459"/>
      <c r="E2240" s="460"/>
      <c r="F2240" s="461"/>
      <c r="G2240" s="514"/>
    </row>
    <row r="2241" spans="1:7" ht="19.899999999999999" customHeight="1">
      <c r="A2241" s="677" t="s">
        <v>575</v>
      </c>
      <c r="B2241" s="678"/>
      <c r="C2241" s="679" t="s">
        <v>0</v>
      </c>
      <c r="D2241" s="679" t="s">
        <v>1865</v>
      </c>
      <c r="E2241" s="681" t="s">
        <v>23</v>
      </c>
      <c r="F2241" s="683" t="s">
        <v>24</v>
      </c>
      <c r="G2241" s="685" t="s">
        <v>25</v>
      </c>
    </row>
    <row r="2242" spans="1:7" ht="19.899999999999999" customHeight="1">
      <c r="A2242" s="477" t="s">
        <v>576</v>
      </c>
      <c r="B2242" s="477" t="s">
        <v>577</v>
      </c>
      <c r="C2242" s="680"/>
      <c r="D2242" s="680"/>
      <c r="E2242" s="682"/>
      <c r="F2242" s="684"/>
      <c r="G2242" s="686"/>
    </row>
    <row r="2243" spans="1:7" ht="19.899999999999999" customHeight="1">
      <c r="A2243" s="515">
        <f t="shared" ref="A2243:A2252" si="782">IFERROR(VLOOKUP(C2243,T_Insumos,4,FALSE),0)</f>
        <v>0</v>
      </c>
      <c r="B2243" s="478">
        <f t="shared" ref="B2243:B2252" si="783">IFERROR(VLOOKUP(C2243,T_Insumos,5,FALSE),0)</f>
        <v>0</v>
      </c>
      <c r="C2243" s="478"/>
      <c r="D2243" s="526">
        <f t="shared" ref="D2243:D2252" si="784">IFERROR(VLOOKUP(C2243,T_Insumos,2,FALSE),0)</f>
        <v>0</v>
      </c>
      <c r="E2243" s="470"/>
      <c r="F2243" s="472">
        <f t="shared" ref="F2243:F2252" si="785">IFERROR(VLOOKUP(C2243,T_Insumos,3,FALSE),0)</f>
        <v>0</v>
      </c>
      <c r="G2243" s="472">
        <f>ROUND(E2243*F2243,2)</f>
        <v>0</v>
      </c>
    </row>
    <row r="2244" spans="1:7" ht="19.899999999999999" customHeight="1">
      <c r="A2244" s="515">
        <f t="shared" si="782"/>
        <v>0</v>
      </c>
      <c r="B2244" s="478">
        <f t="shared" si="783"/>
        <v>0</v>
      </c>
      <c r="C2244" s="478"/>
      <c r="D2244" s="526">
        <f t="shared" si="784"/>
        <v>0</v>
      </c>
      <c r="E2244" s="470"/>
      <c r="F2244" s="472">
        <f t="shared" si="785"/>
        <v>0</v>
      </c>
      <c r="G2244" s="472">
        <f t="shared" ref="G2244:G2253" si="786">ROUND(E2244*F2244,2)</f>
        <v>0</v>
      </c>
    </row>
    <row r="2245" spans="1:7" ht="19.899999999999999" customHeight="1">
      <c r="A2245" s="515">
        <f t="shared" si="782"/>
        <v>0</v>
      </c>
      <c r="B2245" s="478">
        <f t="shared" si="783"/>
        <v>0</v>
      </c>
      <c r="C2245" s="478"/>
      <c r="D2245" s="526">
        <f t="shared" si="784"/>
        <v>0</v>
      </c>
      <c r="E2245" s="470"/>
      <c r="F2245" s="472">
        <f t="shared" si="785"/>
        <v>0</v>
      </c>
      <c r="G2245" s="472">
        <f t="shared" si="786"/>
        <v>0</v>
      </c>
    </row>
    <row r="2246" spans="1:7" ht="19.899999999999999" customHeight="1">
      <c r="A2246" s="515">
        <f t="shared" si="782"/>
        <v>0</v>
      </c>
      <c r="B2246" s="478">
        <f t="shared" si="783"/>
        <v>0</v>
      </c>
      <c r="C2246" s="478"/>
      <c r="D2246" s="526">
        <f t="shared" si="784"/>
        <v>0</v>
      </c>
      <c r="E2246" s="470"/>
      <c r="F2246" s="472">
        <f t="shared" si="785"/>
        <v>0</v>
      </c>
      <c r="G2246" s="472">
        <f t="shared" si="786"/>
        <v>0</v>
      </c>
    </row>
    <row r="2247" spans="1:7" ht="19.899999999999999" customHeight="1">
      <c r="A2247" s="515">
        <f t="shared" si="782"/>
        <v>0</v>
      </c>
      <c r="B2247" s="478">
        <f t="shared" si="783"/>
        <v>0</v>
      </c>
      <c r="C2247" s="478"/>
      <c r="D2247" s="526">
        <f t="shared" si="784"/>
        <v>0</v>
      </c>
      <c r="E2247" s="470"/>
      <c r="F2247" s="472">
        <f t="shared" si="785"/>
        <v>0</v>
      </c>
      <c r="G2247" s="472">
        <f t="shared" si="786"/>
        <v>0</v>
      </c>
    </row>
    <row r="2248" spans="1:7" ht="19.899999999999999" customHeight="1">
      <c r="A2248" s="515">
        <f t="shared" si="782"/>
        <v>0</v>
      </c>
      <c r="B2248" s="478">
        <f t="shared" si="783"/>
        <v>0</v>
      </c>
      <c r="C2248" s="478"/>
      <c r="D2248" s="526">
        <f t="shared" si="784"/>
        <v>0</v>
      </c>
      <c r="E2248" s="470"/>
      <c r="F2248" s="472">
        <f t="shared" si="785"/>
        <v>0</v>
      </c>
      <c r="G2248" s="472">
        <f t="shared" si="786"/>
        <v>0</v>
      </c>
    </row>
    <row r="2249" spans="1:7" ht="19.899999999999999" customHeight="1">
      <c r="A2249" s="515">
        <f t="shared" si="782"/>
        <v>0</v>
      </c>
      <c r="B2249" s="478">
        <f t="shared" si="783"/>
        <v>0</v>
      </c>
      <c r="C2249" s="478"/>
      <c r="D2249" s="526">
        <f t="shared" si="784"/>
        <v>0</v>
      </c>
      <c r="E2249" s="470"/>
      <c r="F2249" s="472">
        <f t="shared" si="785"/>
        <v>0</v>
      </c>
      <c r="G2249" s="472">
        <f t="shared" si="786"/>
        <v>0</v>
      </c>
    </row>
    <row r="2250" spans="1:7" ht="19.899999999999999" customHeight="1">
      <c r="A2250" s="515">
        <f t="shared" si="782"/>
        <v>0</v>
      </c>
      <c r="B2250" s="478">
        <f t="shared" si="783"/>
        <v>0</v>
      </c>
      <c r="C2250" s="478"/>
      <c r="D2250" s="526">
        <f t="shared" si="784"/>
        <v>0</v>
      </c>
      <c r="E2250" s="470"/>
      <c r="F2250" s="472">
        <f t="shared" si="785"/>
        <v>0</v>
      </c>
      <c r="G2250" s="472">
        <f t="shared" si="786"/>
        <v>0</v>
      </c>
    </row>
    <row r="2251" spans="1:7" ht="19.899999999999999" customHeight="1">
      <c r="A2251" s="515">
        <f t="shared" si="782"/>
        <v>0</v>
      </c>
      <c r="B2251" s="478">
        <f t="shared" si="783"/>
        <v>0</v>
      </c>
      <c r="C2251" s="478"/>
      <c r="D2251" s="526">
        <f t="shared" si="784"/>
        <v>0</v>
      </c>
      <c r="E2251" s="470"/>
      <c r="F2251" s="472">
        <f t="shared" si="785"/>
        <v>0</v>
      </c>
      <c r="G2251" s="472">
        <f t="shared" si="786"/>
        <v>0</v>
      </c>
    </row>
    <row r="2252" spans="1:7" ht="19.899999999999999" customHeight="1">
      <c r="A2252" s="515">
        <f t="shared" si="782"/>
        <v>0</v>
      </c>
      <c r="B2252" s="478">
        <f t="shared" si="783"/>
        <v>0</v>
      </c>
      <c r="C2252" s="478"/>
      <c r="D2252" s="526">
        <f t="shared" si="784"/>
        <v>0</v>
      </c>
      <c r="E2252" s="470"/>
      <c r="F2252" s="472">
        <f t="shared" si="785"/>
        <v>0</v>
      </c>
      <c r="G2252" s="472">
        <f t="shared" si="786"/>
        <v>0</v>
      </c>
    </row>
    <row r="2253" spans="1:7" ht="19.899999999999999" customHeight="1">
      <c r="A2253" s="515">
        <f t="shared" ref="A2253" si="787">IFERROR(VLOOKUP(C2253,T_Insumos,4,FALSE),0)</f>
        <v>0</v>
      </c>
      <c r="B2253" s="478">
        <f t="shared" ref="B2253" si="788">IFERROR(VLOOKUP(C2253,T_Insumos,5,FALSE),0)</f>
        <v>0</v>
      </c>
      <c r="C2253" s="478"/>
      <c r="D2253" s="526">
        <f t="shared" ref="D2253" si="789">IFERROR(VLOOKUP(C2253,T_Insumos,2,FALSE),0)</f>
        <v>0</v>
      </c>
      <c r="E2253" s="470"/>
      <c r="F2253" s="472">
        <f t="shared" ref="F2253" si="790">IFERROR(VLOOKUP(C2253,T_Insumos,3,FALSE),0)</f>
        <v>0</v>
      </c>
      <c r="G2253" s="472">
        <f t="shared" si="786"/>
        <v>0</v>
      </c>
    </row>
    <row r="2254" spans="1:7" ht="19.899999999999999" customHeight="1">
      <c r="A2254" s="513"/>
      <c r="B2254" s="163"/>
      <c r="C2254" s="163"/>
      <c r="D2254" s="459"/>
      <c r="E2254" s="460"/>
      <c r="F2254" s="481" t="s">
        <v>28</v>
      </c>
      <c r="G2254" s="518">
        <f>SUBTOTAL(9,G2243:G2253)</f>
        <v>0</v>
      </c>
    </row>
    <row r="2255" spans="1:7" ht="19.899999999999999" customHeight="1">
      <c r="A2255" s="513"/>
      <c r="B2255" s="163"/>
      <c r="C2255" s="455" t="s">
        <v>1014</v>
      </c>
      <c r="D2255" s="459"/>
      <c r="E2255" s="460"/>
      <c r="F2255" s="461"/>
      <c r="G2255" s="514"/>
    </row>
    <row r="2256" spans="1:7" ht="19.899999999999999" customHeight="1">
      <c r="A2256" s="677" t="s">
        <v>575</v>
      </c>
      <c r="B2256" s="678"/>
      <c r="C2256" s="679" t="s">
        <v>0</v>
      </c>
      <c r="D2256" s="679" t="s">
        <v>1865</v>
      </c>
      <c r="E2256" s="681" t="s">
        <v>23</v>
      </c>
      <c r="F2256" s="683" t="s">
        <v>24</v>
      </c>
      <c r="G2256" s="685" t="s">
        <v>25</v>
      </c>
    </row>
    <row r="2257" spans="1:7" ht="19.899999999999999" customHeight="1">
      <c r="A2257" s="477" t="s">
        <v>576</v>
      </c>
      <c r="B2257" s="477" t="s">
        <v>577</v>
      </c>
      <c r="C2257" s="680"/>
      <c r="D2257" s="680"/>
      <c r="E2257" s="682"/>
      <c r="F2257" s="684"/>
      <c r="G2257" s="686"/>
    </row>
    <row r="2258" spans="1:7" ht="19.899999999999999" customHeight="1">
      <c r="A2258" s="515">
        <f>IFERROR(VLOOKUP(C2258,T_Insumos,4,FALSE),0)</f>
        <v>0</v>
      </c>
      <c r="B2258" s="478">
        <f>IFERROR(VLOOKUP(C2258,T_Insumos,5,FALSE),0)</f>
        <v>0</v>
      </c>
      <c r="C2258" s="469"/>
      <c r="D2258" s="526">
        <f>IF(C2258=0,0,"$/tnkm")</f>
        <v>0</v>
      </c>
      <c r="E2258" s="470"/>
      <c r="F2258" s="472">
        <f>IFERROR(VLOOKUP(C2258,T_Insumos,3,FALSE),0)</f>
        <v>0</v>
      </c>
      <c r="G2258" s="472">
        <f>ROUND(E2258*F2258,2)</f>
        <v>0</v>
      </c>
    </row>
    <row r="2259" spans="1:7" ht="19.899999999999999" customHeight="1">
      <c r="A2259" s="515">
        <f>IFERROR(VLOOKUP(C2259,T_Insumos,4,FALSE),0)</f>
        <v>0</v>
      </c>
      <c r="B2259" s="478">
        <f>IFERROR(VLOOKUP(C2259,T_Insumos,5,FALSE),0)</f>
        <v>0</v>
      </c>
      <c r="C2259" s="469"/>
      <c r="D2259" s="526">
        <f>IF(C2259=0,0,"$/tnkm")</f>
        <v>0</v>
      </c>
      <c r="E2259" s="486"/>
      <c r="F2259" s="472">
        <f>IFERROR(VLOOKUP(C2259,T_Insumos,3,FALSE),0)</f>
        <v>0</v>
      </c>
      <c r="G2259" s="472">
        <f t="shared" ref="G2259" si="791">ROUND(E2259*F2259,2)</f>
        <v>0</v>
      </c>
    </row>
    <row r="2260" spans="1:7" ht="19.899999999999999" customHeight="1">
      <c r="A2260" s="513"/>
      <c r="B2260" s="163"/>
      <c r="C2260" s="163"/>
      <c r="D2260" s="459"/>
      <c r="E2260" s="460"/>
      <c r="F2260" s="481" t="s">
        <v>1015</v>
      </c>
      <c r="G2260" s="518">
        <f>SUBTOTAL(9,G2258:G2259)</f>
        <v>0</v>
      </c>
    </row>
    <row r="2261" spans="1:7" ht="19.899999999999999" customHeight="1">
      <c r="A2261" s="516"/>
      <c r="B2261" s="459"/>
      <c r="C2261" s="163"/>
      <c r="D2261" s="459"/>
      <c r="E2261" s="460"/>
      <c r="F2261" s="461"/>
      <c r="G2261" s="514"/>
    </row>
    <row r="2262" spans="1:7" ht="19.899999999999999" customHeight="1">
      <c r="A2262" s="574" t="str">
        <f>B2196</f>
        <v>5.2.8</v>
      </c>
      <c r="B2262" s="571" t="str">
        <f ca="1">C2196</f>
        <v>Hormigón de limpieza</v>
      </c>
      <c r="C2262" s="459"/>
      <c r="D2262" s="459" t="s">
        <v>1831</v>
      </c>
      <c r="E2262" s="572"/>
      <c r="F2262" s="573" t="str">
        <f ca="1">"$/"&amp;G2196</f>
        <v>$/m3</v>
      </c>
      <c r="G2262" s="523">
        <f>SUBTOTAL(9,G2219:G2261)</f>
        <v>0</v>
      </c>
    </row>
    <row r="2263" spans="1:7" ht="19.899999999999999" customHeight="1">
      <c r="A2263" s="519"/>
      <c r="B2263" s="520"/>
      <c r="C2263" s="521"/>
      <c r="D2263" s="521" t="s">
        <v>2041</v>
      </c>
      <c r="E2263" s="522"/>
      <c r="F2263" s="575" t="str">
        <f ca="1">"$/"&amp;G2196</f>
        <v>$/m3</v>
      </c>
      <c r="G2263" s="523">
        <f>ROUND(G2262*Coeficiente_Paso,2)</f>
        <v>0</v>
      </c>
    </row>
    <row r="2264" spans="1:7" ht="19.899999999999999" customHeight="1">
      <c r="A2264" s="163"/>
      <c r="B2264" s="163"/>
      <c r="C2264" s="163"/>
      <c r="D2264" s="163"/>
      <c r="E2264" s="163"/>
      <c r="F2264" s="163"/>
      <c r="G2264" s="163"/>
    </row>
    <row r="2265" spans="1:7" ht="19.899999999999999" customHeight="1">
      <c r="A2265" s="687" t="s">
        <v>30</v>
      </c>
      <c r="B2265" s="688"/>
      <c r="C2265" s="688"/>
      <c r="D2265" s="688"/>
      <c r="E2265" s="688"/>
      <c r="F2265" s="688"/>
      <c r="G2265" s="689"/>
    </row>
    <row r="2266" spans="1:7" ht="19.899999999999999" customHeight="1">
      <c r="A2266" s="502" t="s">
        <v>710</v>
      </c>
      <c r="B2266" s="453" t="str">
        <f>Comitente</f>
        <v>DEPARTAMENTO DE HIDRAULICA</v>
      </c>
      <c r="C2266" s="454"/>
      <c r="D2266" s="455"/>
      <c r="E2266" s="455"/>
      <c r="F2266" s="456"/>
      <c r="G2266" s="503"/>
    </row>
    <row r="2267" spans="1:7" ht="19.899999999999999" customHeight="1">
      <c r="A2267" s="502" t="s">
        <v>711</v>
      </c>
      <c r="B2267" s="453">
        <f>Contratista</f>
        <v>0</v>
      </c>
      <c r="C2267" s="457"/>
      <c r="D2267" s="457"/>
      <c r="E2267" s="457"/>
      <c r="F2267" s="453"/>
      <c r="G2267" s="504"/>
    </row>
    <row r="2268" spans="1:7" ht="19.899999999999999" customHeight="1">
      <c r="A2268" s="502" t="s">
        <v>20</v>
      </c>
      <c r="B2268" s="453" t="str">
        <f>Obra</f>
        <v>MEJORA DE LA RED DE RIEGO DEL VALLE DE JÁCHAL</v>
      </c>
      <c r="C2268" s="457"/>
      <c r="D2268" s="457"/>
      <c r="E2268" s="457"/>
      <c r="F2268" s="453" t="s">
        <v>31</v>
      </c>
      <c r="G2268" s="504" t="str">
        <f>Fecha_Base</f>
        <v>XX/07/2020</v>
      </c>
    </row>
    <row r="2269" spans="1:7" ht="19.899999999999999" customHeight="1">
      <c r="A2269" s="505" t="s">
        <v>709</v>
      </c>
      <c r="B2269" s="458" t="str">
        <f>Ubicación</f>
        <v>JACHAL</v>
      </c>
      <c r="C2269" s="458"/>
      <c r="D2269" s="459"/>
      <c r="E2269" s="460"/>
      <c r="F2269" s="461"/>
      <c r="G2269" s="506"/>
    </row>
    <row r="2270" spans="1:7" ht="19.899999999999999" customHeight="1">
      <c r="A2270" s="505" t="s">
        <v>32</v>
      </c>
      <c r="B2270" s="462">
        <f>IFERROR(VALUE(LEFT(B2271,FIND(".",B2271)-1)),"")</f>
        <v>5</v>
      </c>
      <c r="C2270" s="163" t="str">
        <f ca="1">IFERROR(VLOOKUP(B2270,T_Computo_Presupuesto,2,FALSE),0)</f>
        <v>CANAL MATRIZ</v>
      </c>
      <c r="D2270" s="163"/>
      <c r="E2270" s="460"/>
      <c r="F2270" s="461"/>
      <c r="G2270" s="506"/>
    </row>
    <row r="2271" spans="1:7" ht="19.899999999999999" customHeight="1">
      <c r="A2271" s="505" t="s">
        <v>21</v>
      </c>
      <c r="B2271" s="463" t="str">
        <f>IFERROR(VLOOKUP(COUNTIF($A$1:A2271,"ANALISIS DE PRECIOS"),T_NumeroItem,2,FALSE),"")</f>
        <v>5.2.9</v>
      </c>
      <c r="C2271" s="690" t="str">
        <f ca="1">IFERROR(VLOOKUP(B2271,T_Computo_Presupuesto,2,FALSE),0)</f>
        <v>Hormigón armado H20</v>
      </c>
      <c r="D2271" s="690"/>
      <c r="E2271" s="690"/>
      <c r="F2271" s="458" t="s">
        <v>22</v>
      </c>
      <c r="G2271" s="507" t="str">
        <f ca="1">IFERROR(VLOOKUP(B2271,T_Computo_Presupuesto,4,FALSE),0)</f>
        <v>m3</v>
      </c>
    </row>
    <row r="2272" spans="1:7" ht="19.899999999999999" customHeight="1">
      <c r="A2272" s="505"/>
      <c r="B2272" s="458"/>
      <c r="C2272" s="163"/>
      <c r="D2272" s="459"/>
      <c r="E2272" s="460"/>
      <c r="F2272" s="163"/>
      <c r="G2272" s="508"/>
    </row>
    <row r="2273" spans="1:7" ht="19.899999999999999" customHeight="1">
      <c r="A2273" s="509"/>
      <c r="B2273" s="464"/>
      <c r="C2273" s="465" t="s">
        <v>998</v>
      </c>
      <c r="D2273" s="464"/>
      <c r="E2273" s="464"/>
      <c r="F2273" s="464"/>
      <c r="G2273" s="510"/>
    </row>
    <row r="2274" spans="1:7" ht="19.899999999999999" customHeight="1">
      <c r="A2274" s="505"/>
      <c r="B2274" s="466"/>
      <c r="C2274" s="163"/>
      <c r="D2274" s="459"/>
      <c r="E2274" s="460"/>
      <c r="F2274" s="458"/>
      <c r="G2274" s="507"/>
    </row>
    <row r="2275" spans="1:7" ht="19.899999999999999" customHeight="1">
      <c r="A2275" s="505"/>
      <c r="B2275" s="466"/>
      <c r="C2275" s="467" t="s">
        <v>999</v>
      </c>
      <c r="D2275" s="468" t="s">
        <v>23</v>
      </c>
      <c r="E2275" s="468" t="s">
        <v>1000</v>
      </c>
      <c r="F2275" s="468" t="s">
        <v>1001</v>
      </c>
      <c r="G2275" s="467" t="s">
        <v>1002</v>
      </c>
    </row>
    <row r="2276" spans="1:7" ht="19.899999999999999" customHeight="1">
      <c r="A2276" s="505"/>
      <c r="B2276" s="466"/>
      <c r="C2276" s="469"/>
      <c r="D2276" s="470"/>
      <c r="E2276" s="471">
        <f t="shared" ref="E2276:E2285" si="792">IFERROR(VLOOKUP(C2276,T_Equipos,4,FALSE),0)</f>
        <v>0</v>
      </c>
      <c r="F2276" s="472">
        <f t="shared" ref="F2276:F2285" si="793">IFERROR(VLOOKUP(C2276,T_Equipos,5,FALSE),0)</f>
        <v>0</v>
      </c>
      <c r="G2276" s="472">
        <f>ROUND(D2276*F2276,2)</f>
        <v>0</v>
      </c>
    </row>
    <row r="2277" spans="1:7" ht="19.899999999999999" customHeight="1">
      <c r="A2277" s="505"/>
      <c r="B2277" s="466"/>
      <c r="C2277" s="469"/>
      <c r="D2277" s="470"/>
      <c r="E2277" s="471">
        <f t="shared" si="792"/>
        <v>0</v>
      </c>
      <c r="F2277" s="472">
        <f t="shared" si="793"/>
        <v>0</v>
      </c>
      <c r="G2277" s="472">
        <f>ROUND(D2277*F2277,2)</f>
        <v>0</v>
      </c>
    </row>
    <row r="2278" spans="1:7" ht="19.899999999999999" customHeight="1">
      <c r="A2278" s="505"/>
      <c r="B2278" s="466"/>
      <c r="C2278" s="469"/>
      <c r="D2278" s="470"/>
      <c r="E2278" s="471">
        <f t="shared" si="792"/>
        <v>0</v>
      </c>
      <c r="F2278" s="472">
        <f t="shared" si="793"/>
        <v>0</v>
      </c>
      <c r="G2278" s="472">
        <f>ROUND(D2278*F2278,2)</f>
        <v>0</v>
      </c>
    </row>
    <row r="2279" spans="1:7" ht="19.899999999999999" customHeight="1">
      <c r="A2279" s="505"/>
      <c r="B2279" s="466"/>
      <c r="C2279" s="469"/>
      <c r="D2279" s="470"/>
      <c r="E2279" s="471">
        <f t="shared" si="792"/>
        <v>0</v>
      </c>
      <c r="F2279" s="472">
        <f t="shared" si="793"/>
        <v>0</v>
      </c>
      <c r="G2279" s="472">
        <f>ROUND(D2279*F2279,2)</f>
        <v>0</v>
      </c>
    </row>
    <row r="2280" spans="1:7" ht="19.899999999999999" customHeight="1">
      <c r="A2280" s="505"/>
      <c r="B2280" s="466"/>
      <c r="C2280" s="469"/>
      <c r="D2280" s="470"/>
      <c r="E2280" s="471">
        <f t="shared" si="792"/>
        <v>0</v>
      </c>
      <c r="F2280" s="472">
        <f t="shared" si="793"/>
        <v>0</v>
      </c>
      <c r="G2280" s="472">
        <f t="shared" ref="G2280:G2285" si="794">ROUND(D2280*F2280,2)</f>
        <v>0</v>
      </c>
    </row>
    <row r="2281" spans="1:7" ht="19.899999999999999" customHeight="1">
      <c r="A2281" s="505"/>
      <c r="B2281" s="466"/>
      <c r="C2281" s="469"/>
      <c r="D2281" s="470"/>
      <c r="E2281" s="471">
        <f t="shared" si="792"/>
        <v>0</v>
      </c>
      <c r="F2281" s="472">
        <f t="shared" si="793"/>
        <v>0</v>
      </c>
      <c r="G2281" s="472">
        <f t="shared" si="794"/>
        <v>0</v>
      </c>
    </row>
    <row r="2282" spans="1:7" ht="19.899999999999999" customHeight="1">
      <c r="A2282" s="505"/>
      <c r="B2282" s="466"/>
      <c r="C2282" s="469"/>
      <c r="D2282" s="470"/>
      <c r="E2282" s="471">
        <f t="shared" si="792"/>
        <v>0</v>
      </c>
      <c r="F2282" s="472">
        <f t="shared" si="793"/>
        <v>0</v>
      </c>
      <c r="G2282" s="472">
        <f t="shared" si="794"/>
        <v>0</v>
      </c>
    </row>
    <row r="2283" spans="1:7" ht="19.899999999999999" customHeight="1">
      <c r="A2283" s="505"/>
      <c r="B2283" s="466"/>
      <c r="C2283" s="469"/>
      <c r="D2283" s="470"/>
      <c r="E2283" s="471">
        <f t="shared" si="792"/>
        <v>0</v>
      </c>
      <c r="F2283" s="472">
        <f t="shared" si="793"/>
        <v>0</v>
      </c>
      <c r="G2283" s="472">
        <f t="shared" si="794"/>
        <v>0</v>
      </c>
    </row>
    <row r="2284" spans="1:7" ht="19.899999999999999" customHeight="1">
      <c r="A2284" s="505"/>
      <c r="B2284" s="466"/>
      <c r="C2284" s="469"/>
      <c r="D2284" s="470"/>
      <c r="E2284" s="471">
        <f t="shared" si="792"/>
        <v>0</v>
      </c>
      <c r="F2284" s="472">
        <f t="shared" si="793"/>
        <v>0</v>
      </c>
      <c r="G2284" s="472">
        <f t="shared" si="794"/>
        <v>0</v>
      </c>
    </row>
    <row r="2285" spans="1:7" ht="19.899999999999999" customHeight="1">
      <c r="A2285" s="505"/>
      <c r="B2285" s="466"/>
      <c r="C2285" s="469"/>
      <c r="D2285" s="470"/>
      <c r="E2285" s="471">
        <f t="shared" si="792"/>
        <v>0</v>
      </c>
      <c r="F2285" s="472">
        <f t="shared" si="793"/>
        <v>0</v>
      </c>
      <c r="G2285" s="472">
        <f t="shared" si="794"/>
        <v>0</v>
      </c>
    </row>
    <row r="2286" spans="1:7" ht="19.899999999999999" customHeight="1">
      <c r="A2286" s="505"/>
      <c r="B2286" s="466"/>
      <c r="C2286" s="163"/>
      <c r="D2286" s="163"/>
      <c r="E2286" s="473"/>
      <c r="F2286" s="458"/>
      <c r="G2286" s="507"/>
    </row>
    <row r="2287" spans="1:7" ht="19.899999999999999" customHeight="1">
      <c r="A2287" s="505"/>
      <c r="B2287" s="163"/>
      <c r="C2287" s="455" t="s">
        <v>1003</v>
      </c>
      <c r="D2287" s="458" t="s">
        <v>1000</v>
      </c>
      <c r="E2287" s="524">
        <f>SUMPRODUCT(D2276:D2285,E2276:E2285)</f>
        <v>0</v>
      </c>
      <c r="F2287" s="458" t="s">
        <v>1004</v>
      </c>
      <c r="G2287" s="525">
        <f>SUM(G2276:G2285)</f>
        <v>0</v>
      </c>
    </row>
    <row r="2288" spans="1:7" ht="19.899999999999999" customHeight="1">
      <c r="A2288" s="505"/>
      <c r="B2288" s="466"/>
      <c r="C2288" s="474"/>
      <c r="D2288" s="473"/>
      <c r="E2288" s="460"/>
      <c r="F2288" s="458"/>
      <c r="G2288" s="511"/>
    </row>
    <row r="2289" spans="1:7" ht="19.899999999999999" customHeight="1">
      <c r="A2289" s="512"/>
      <c r="B2289" s="466"/>
      <c r="C2289" s="458" t="s">
        <v>1005</v>
      </c>
      <c r="D2289" s="475"/>
      <c r="E2289" s="476" t="str">
        <f ca="1">G2271&amp;"/día"</f>
        <v>m3/día</v>
      </c>
      <c r="F2289" s="452"/>
      <c r="G2289" s="507"/>
    </row>
    <row r="2290" spans="1:7" ht="19.899999999999999" customHeight="1">
      <c r="A2290" s="505"/>
      <c r="B2290" s="466"/>
      <c r="C2290" s="163"/>
      <c r="D2290" s="459"/>
      <c r="E2290" s="460"/>
      <c r="F2290" s="458"/>
      <c r="G2290" s="507"/>
    </row>
    <row r="2291" spans="1:7" ht="19.899999999999999" customHeight="1">
      <c r="A2291" s="677" t="s">
        <v>575</v>
      </c>
      <c r="B2291" s="678"/>
      <c r="C2291" s="679" t="s">
        <v>0</v>
      </c>
      <c r="D2291" s="691" t="s">
        <v>1864</v>
      </c>
      <c r="E2291" s="691" t="s">
        <v>1863</v>
      </c>
      <c r="F2291" s="683" t="s">
        <v>1006</v>
      </c>
      <c r="G2291" s="685" t="s">
        <v>25</v>
      </c>
    </row>
    <row r="2292" spans="1:7" ht="19.899999999999999" customHeight="1">
      <c r="A2292" s="477" t="s">
        <v>576</v>
      </c>
      <c r="B2292" s="477" t="s">
        <v>577</v>
      </c>
      <c r="C2292" s="680"/>
      <c r="D2292" s="692"/>
      <c r="E2292" s="682"/>
      <c r="F2292" s="684"/>
      <c r="G2292" s="686"/>
    </row>
    <row r="2293" spans="1:7" ht="19.899999999999999" customHeight="1">
      <c r="A2293" s="513"/>
      <c r="B2293" s="163"/>
      <c r="C2293" s="455" t="s">
        <v>1007</v>
      </c>
      <c r="D2293" s="460"/>
      <c r="E2293" s="460"/>
      <c r="F2293" s="163"/>
      <c r="G2293" s="514"/>
    </row>
    <row r="2294" spans="1:7" ht="19.899999999999999" customHeight="1">
      <c r="A2294" s="515">
        <f t="shared" ref="A2294:A2302" si="795">IFERROR(VLOOKUP(C2294,T_Insumos,4,FALSE),0)</f>
        <v>0</v>
      </c>
      <c r="B2294" s="478">
        <f t="shared" ref="B2294:B2302" si="796">IFERROR(VLOOKUP(C2294,T_Insumos,5,FALSE),0)</f>
        <v>0</v>
      </c>
      <c r="C2294" s="469"/>
      <c r="D2294" s="479">
        <f t="shared" ref="D2294:D2302" si="797">IFERROR(VLOOKUP(C2294,T_Insumos,3,FALSE),0)</f>
        <v>0</v>
      </c>
      <c r="E2294" s="472">
        <f>D2294*$G$23</f>
        <v>0</v>
      </c>
      <c r="F2294" s="475">
        <f>IF(C2294="",0,IFERROR(VLOOKUP(COUNTIF($A$1:A2294,"ANALISIS DE PRECIOS"),T_Rendimiento_Equipo,5,FALSE),0))</f>
        <v>0</v>
      </c>
      <c r="G2294" s="472">
        <f>IFERROR(ROUND(E2294/F2294,2),0)</f>
        <v>0</v>
      </c>
    </row>
    <row r="2295" spans="1:7" ht="19.899999999999999" customHeight="1">
      <c r="A2295" s="515">
        <f t="shared" si="795"/>
        <v>0</v>
      </c>
      <c r="B2295" s="478">
        <f t="shared" si="796"/>
        <v>0</v>
      </c>
      <c r="C2295" s="469"/>
      <c r="D2295" s="479">
        <f t="shared" si="797"/>
        <v>0</v>
      </c>
      <c r="E2295" s="472">
        <f t="shared" ref="E2295:E2302" si="798">D2295*$G$23</f>
        <v>0</v>
      </c>
      <c r="F2295" s="475">
        <f>IF(C2295="",0,IFERROR(VLOOKUP(COUNTIF($A$1:A2295,"ANALISIS DE PRECIOS"),T_Rendimiento_Equipo,5,FALSE),0))</f>
        <v>0</v>
      </c>
      <c r="G2295" s="472">
        <f t="shared" ref="G2295:G2302" si="799">IFERROR(ROUND(E2295/F2295,2),0)</f>
        <v>0</v>
      </c>
    </row>
    <row r="2296" spans="1:7" ht="19.899999999999999" customHeight="1">
      <c r="A2296" s="515">
        <f t="shared" si="795"/>
        <v>0</v>
      </c>
      <c r="B2296" s="478">
        <f t="shared" si="796"/>
        <v>0</v>
      </c>
      <c r="C2296" s="480"/>
      <c r="D2296" s="479">
        <f t="shared" si="797"/>
        <v>0</v>
      </c>
      <c r="E2296" s="472">
        <f t="shared" si="798"/>
        <v>0</v>
      </c>
      <c r="F2296" s="475">
        <f>IF(C2296="",0,IFERROR(VLOOKUP(COUNTIF($A$1:A2296,"ANALISIS DE PRECIOS"),T_Rendimiento_Equipo,5,FALSE),0))</f>
        <v>0</v>
      </c>
      <c r="G2296" s="472">
        <f t="shared" si="799"/>
        <v>0</v>
      </c>
    </row>
    <row r="2297" spans="1:7" ht="19.899999999999999" customHeight="1">
      <c r="A2297" s="515">
        <f t="shared" si="795"/>
        <v>0</v>
      </c>
      <c r="B2297" s="478">
        <f t="shared" si="796"/>
        <v>0</v>
      </c>
      <c r="C2297" s="480"/>
      <c r="D2297" s="479">
        <f t="shared" si="797"/>
        <v>0</v>
      </c>
      <c r="E2297" s="472">
        <f t="shared" si="798"/>
        <v>0</v>
      </c>
      <c r="F2297" s="475">
        <f>IF(C2297="",0,IFERROR(VLOOKUP(COUNTIF($A$1:A2297,"ANALISIS DE PRECIOS"),T_Rendimiento_Equipo,5,FALSE),0))</f>
        <v>0</v>
      </c>
      <c r="G2297" s="472">
        <f t="shared" si="799"/>
        <v>0</v>
      </c>
    </row>
    <row r="2298" spans="1:7" ht="19.899999999999999" customHeight="1">
      <c r="A2298" s="515">
        <f t="shared" si="795"/>
        <v>0</v>
      </c>
      <c r="B2298" s="478">
        <f t="shared" si="796"/>
        <v>0</v>
      </c>
      <c r="C2298" s="480"/>
      <c r="D2298" s="479">
        <f t="shared" si="797"/>
        <v>0</v>
      </c>
      <c r="E2298" s="472">
        <f t="shared" si="798"/>
        <v>0</v>
      </c>
      <c r="F2298" s="475">
        <f>IF(C2298="",0,IFERROR(VLOOKUP(COUNTIF($A$1:A2298,"ANALISIS DE PRECIOS"),T_Rendimiento_Equipo,5,FALSE),0))</f>
        <v>0</v>
      </c>
      <c r="G2298" s="472">
        <f t="shared" si="799"/>
        <v>0</v>
      </c>
    </row>
    <row r="2299" spans="1:7" ht="19.899999999999999" customHeight="1">
      <c r="A2299" s="515">
        <f t="shared" si="795"/>
        <v>0</v>
      </c>
      <c r="B2299" s="478">
        <f t="shared" si="796"/>
        <v>0</v>
      </c>
      <c r="C2299" s="480"/>
      <c r="D2299" s="479">
        <f t="shared" si="797"/>
        <v>0</v>
      </c>
      <c r="E2299" s="472">
        <f t="shared" si="798"/>
        <v>0</v>
      </c>
      <c r="F2299" s="475">
        <f>IF(C2299="",0,IFERROR(VLOOKUP(COUNTIF($A$1:A2299,"ANALISIS DE PRECIOS"),T_Rendimiento_Equipo,5,FALSE),0))</f>
        <v>0</v>
      </c>
      <c r="G2299" s="472">
        <f t="shared" si="799"/>
        <v>0</v>
      </c>
    </row>
    <row r="2300" spans="1:7" ht="19.899999999999999" customHeight="1">
      <c r="A2300" s="515">
        <f t="shared" si="795"/>
        <v>0</v>
      </c>
      <c r="B2300" s="478">
        <f t="shared" si="796"/>
        <v>0</v>
      </c>
      <c r="C2300" s="480"/>
      <c r="D2300" s="479">
        <f t="shared" si="797"/>
        <v>0</v>
      </c>
      <c r="E2300" s="472">
        <f t="shared" si="798"/>
        <v>0</v>
      </c>
      <c r="F2300" s="475">
        <f>IF(C2300="",0,IFERROR(VLOOKUP(COUNTIF($A$1:A2300,"ANALISIS DE PRECIOS"),T_Rendimiento_Equipo,5,FALSE),0))</f>
        <v>0</v>
      </c>
      <c r="G2300" s="472">
        <f t="shared" si="799"/>
        <v>0</v>
      </c>
    </row>
    <row r="2301" spans="1:7" ht="19.899999999999999" customHeight="1">
      <c r="A2301" s="515">
        <f t="shared" si="795"/>
        <v>0</v>
      </c>
      <c r="B2301" s="478">
        <f t="shared" si="796"/>
        <v>0</v>
      </c>
      <c r="C2301" s="480"/>
      <c r="D2301" s="479">
        <f t="shared" si="797"/>
        <v>0</v>
      </c>
      <c r="E2301" s="472">
        <f t="shared" si="798"/>
        <v>0</v>
      </c>
      <c r="F2301" s="475">
        <f>IF(C2301="",0,IFERROR(VLOOKUP(COUNTIF($A$1:A2301,"ANALISIS DE PRECIOS"),T_Rendimiento_Equipo,5,FALSE),0))</f>
        <v>0</v>
      </c>
      <c r="G2301" s="472">
        <f t="shared" si="799"/>
        <v>0</v>
      </c>
    </row>
    <row r="2302" spans="1:7" ht="19.899999999999999" customHeight="1">
      <c r="A2302" s="515">
        <f t="shared" si="795"/>
        <v>0</v>
      </c>
      <c r="B2302" s="478">
        <f t="shared" si="796"/>
        <v>0</v>
      </c>
      <c r="C2302" s="469"/>
      <c r="D2302" s="479">
        <f t="shared" si="797"/>
        <v>0</v>
      </c>
      <c r="E2302" s="472">
        <f t="shared" si="798"/>
        <v>0</v>
      </c>
      <c r="F2302" s="475">
        <f>IF(C2302="",0,IFERROR(VLOOKUP(COUNTIF($A$1:A2302,"ANALISIS DE PRECIOS"),T_Rendimiento_Equipo,5,FALSE),0))</f>
        <v>0</v>
      </c>
      <c r="G2302" s="472">
        <f t="shared" si="799"/>
        <v>0</v>
      </c>
    </row>
    <row r="2303" spans="1:7" ht="19.899999999999999" customHeight="1">
      <c r="A2303" s="516"/>
      <c r="B2303" s="459"/>
      <c r="C2303" s="163"/>
      <c r="D2303" s="459"/>
      <c r="E2303" s="460"/>
      <c r="F2303" s="650" t="s">
        <v>26</v>
      </c>
      <c r="G2303" s="517">
        <f>SUBTOTAL(9,G2294:G2302)</f>
        <v>0</v>
      </c>
    </row>
    <row r="2304" spans="1:7" ht="19.899999999999999" customHeight="1">
      <c r="A2304" s="513"/>
      <c r="B2304" s="163"/>
      <c r="C2304" s="455" t="s">
        <v>712</v>
      </c>
      <c r="D2304" s="459"/>
      <c r="E2304" s="460"/>
      <c r="F2304" s="461"/>
      <c r="G2304" s="514"/>
    </row>
    <row r="2305" spans="1:7" ht="19.899999999999999" customHeight="1">
      <c r="A2305" s="677" t="s">
        <v>575</v>
      </c>
      <c r="B2305" s="678"/>
      <c r="C2305" s="679" t="s">
        <v>0</v>
      </c>
      <c r="D2305" s="681" t="s">
        <v>23</v>
      </c>
      <c r="E2305" s="681" t="s">
        <v>1830</v>
      </c>
      <c r="F2305" s="683" t="s">
        <v>1006</v>
      </c>
      <c r="G2305" s="685" t="s">
        <v>25</v>
      </c>
    </row>
    <row r="2306" spans="1:7" ht="19.899999999999999" customHeight="1">
      <c r="A2306" s="477" t="s">
        <v>576</v>
      </c>
      <c r="B2306" s="477" t="s">
        <v>577</v>
      </c>
      <c r="C2306" s="680"/>
      <c r="D2306" s="682"/>
      <c r="E2306" s="682"/>
      <c r="F2306" s="684"/>
      <c r="G2306" s="686"/>
    </row>
    <row r="2307" spans="1:7" ht="19.899999999999999" customHeight="1">
      <c r="A2307" s="515">
        <f t="shared" ref="A2307:A2313" si="800">IFERROR(VLOOKUP(C2307,T_Insumos,4,FALSE),0)</f>
        <v>0</v>
      </c>
      <c r="B2307" s="478">
        <f t="shared" ref="B2307:B2313" si="801">IFERROR(VLOOKUP(C2307,T_Insumos,5,FALSE),0)</f>
        <v>0</v>
      </c>
      <c r="C2307" s="482"/>
      <c r="D2307" s="475"/>
      <c r="E2307" s="472">
        <f t="shared" ref="E2307:E2313" si="802">IFERROR(VLOOKUP(C2307,T_Insumos,3,FALSE),0)</f>
        <v>0</v>
      </c>
      <c r="F2307" s="475">
        <f>IF(C2307="",0,IFERROR(VLOOKUP(COUNTIF($A$1:A2307,"ANALISIS DE PRECIOS"),T_Rendimiento_Equipo,5,FALSE),0))</f>
        <v>0</v>
      </c>
      <c r="G2307" s="472">
        <f>IFERROR(ROUND(D2307*E2307/F2307,2),0)</f>
        <v>0</v>
      </c>
    </row>
    <row r="2308" spans="1:7" ht="19.899999999999999" customHeight="1">
      <c r="A2308" s="515">
        <f t="shared" si="800"/>
        <v>0</v>
      </c>
      <c r="B2308" s="478">
        <f t="shared" si="801"/>
        <v>0</v>
      </c>
      <c r="C2308" s="469"/>
      <c r="D2308" s="475"/>
      <c r="E2308" s="472">
        <f t="shared" si="802"/>
        <v>0</v>
      </c>
      <c r="F2308" s="475">
        <f>IF(C2308="",0,IFERROR(VLOOKUP(COUNTIF($A$1:A2308,"ANALISIS DE PRECIOS"),T_Rendimiento_Equipo,5,FALSE),0))</f>
        <v>0</v>
      </c>
      <c r="G2308" s="472">
        <f t="shared" ref="G2308:G2313" si="803">IFERROR(ROUND(D2308*E2308/F2308,2),0)</f>
        <v>0</v>
      </c>
    </row>
    <row r="2309" spans="1:7" ht="19.899999999999999" customHeight="1">
      <c r="A2309" s="515">
        <f t="shared" si="800"/>
        <v>0</v>
      </c>
      <c r="B2309" s="478">
        <f t="shared" si="801"/>
        <v>0</v>
      </c>
      <c r="C2309" s="469"/>
      <c r="D2309" s="475"/>
      <c r="E2309" s="472">
        <f t="shared" si="802"/>
        <v>0</v>
      </c>
      <c r="F2309" s="475">
        <f>IF(C2309="",0,IFERROR(VLOOKUP(COUNTIF($A$1:A2309,"ANALISIS DE PRECIOS"),T_Rendimiento_Equipo,5,FALSE),0))</f>
        <v>0</v>
      </c>
      <c r="G2309" s="472">
        <f t="shared" si="803"/>
        <v>0</v>
      </c>
    </row>
    <row r="2310" spans="1:7" ht="19.899999999999999" customHeight="1">
      <c r="A2310" s="515">
        <f t="shared" si="800"/>
        <v>0</v>
      </c>
      <c r="B2310" s="478">
        <f t="shared" si="801"/>
        <v>0</v>
      </c>
      <c r="C2310" s="469"/>
      <c r="D2310" s="475"/>
      <c r="E2310" s="472">
        <f t="shared" si="802"/>
        <v>0</v>
      </c>
      <c r="F2310" s="475">
        <f>IF(C2310="",0,IFERROR(VLOOKUP(COUNTIF($A$1:A2310,"ANALISIS DE PRECIOS"),T_Rendimiento_Equipo,5,FALSE),0))</f>
        <v>0</v>
      </c>
      <c r="G2310" s="472">
        <f t="shared" si="803"/>
        <v>0</v>
      </c>
    </row>
    <row r="2311" spans="1:7" ht="19.899999999999999" customHeight="1">
      <c r="A2311" s="515">
        <f t="shared" si="800"/>
        <v>0</v>
      </c>
      <c r="B2311" s="478">
        <f t="shared" si="801"/>
        <v>0</v>
      </c>
      <c r="C2311" s="469"/>
      <c r="D2311" s="475"/>
      <c r="E2311" s="472">
        <f t="shared" si="802"/>
        <v>0</v>
      </c>
      <c r="F2311" s="475">
        <f>IF(C2311="",0,IFERROR(VLOOKUP(COUNTIF($A$1:A2311,"ANALISIS DE PRECIOS"),T_Rendimiento_Equipo,5,FALSE),0))</f>
        <v>0</v>
      </c>
      <c r="G2311" s="472">
        <f t="shared" si="803"/>
        <v>0</v>
      </c>
    </row>
    <row r="2312" spans="1:7" ht="19.899999999999999" customHeight="1">
      <c r="A2312" s="515">
        <f t="shared" si="800"/>
        <v>0</v>
      </c>
      <c r="B2312" s="478">
        <f t="shared" si="801"/>
        <v>0</v>
      </c>
      <c r="C2312" s="469"/>
      <c r="D2312" s="483"/>
      <c r="E2312" s="472">
        <f t="shared" si="802"/>
        <v>0</v>
      </c>
      <c r="F2312" s="475">
        <f>IF(C2312="",0,IFERROR(VLOOKUP(COUNTIF($A$1:A2312,"ANALISIS DE PRECIOS"),T_Rendimiento_Equipo,5,FALSE),0))</f>
        <v>0</v>
      </c>
      <c r="G2312" s="472">
        <f t="shared" si="803"/>
        <v>0</v>
      </c>
    </row>
    <row r="2313" spans="1:7" ht="19.899999999999999" customHeight="1">
      <c r="A2313" s="515">
        <f t="shared" si="800"/>
        <v>0</v>
      </c>
      <c r="B2313" s="478">
        <f t="shared" si="801"/>
        <v>0</v>
      </c>
      <c r="C2313" s="478"/>
      <c r="D2313" s="484"/>
      <c r="E2313" s="472">
        <f t="shared" si="802"/>
        <v>0</v>
      </c>
      <c r="F2313" s="475">
        <f>IF(C2313="",0,IFERROR(VLOOKUP(COUNTIF($A$1:A2313,"ANALISIS DE PRECIOS"),T_Rendimiento_Equipo,5,FALSE),0))</f>
        <v>0</v>
      </c>
      <c r="G2313" s="472">
        <f t="shared" si="803"/>
        <v>0</v>
      </c>
    </row>
    <row r="2314" spans="1:7" ht="19.899999999999999" customHeight="1">
      <c r="A2314" s="516"/>
      <c r="B2314" s="459"/>
      <c r="C2314" s="163"/>
      <c r="D2314" s="459"/>
      <c r="E2314" s="460"/>
      <c r="F2314" s="650" t="s">
        <v>27</v>
      </c>
      <c r="G2314" s="518">
        <f>SUBTOTAL(9,G2307:G2313)</f>
        <v>0</v>
      </c>
    </row>
    <row r="2315" spans="1:7" ht="19.899999999999999" customHeight="1">
      <c r="A2315" s="513"/>
      <c r="B2315" s="163"/>
      <c r="C2315" s="455" t="s">
        <v>1013</v>
      </c>
      <c r="D2315" s="459"/>
      <c r="E2315" s="460"/>
      <c r="F2315" s="461"/>
      <c r="G2315" s="514"/>
    </row>
    <row r="2316" spans="1:7" ht="19.899999999999999" customHeight="1">
      <c r="A2316" s="677" t="s">
        <v>575</v>
      </c>
      <c r="B2316" s="678"/>
      <c r="C2316" s="679" t="s">
        <v>0</v>
      </c>
      <c r="D2316" s="679" t="s">
        <v>1865</v>
      </c>
      <c r="E2316" s="681" t="s">
        <v>23</v>
      </c>
      <c r="F2316" s="683" t="s">
        <v>24</v>
      </c>
      <c r="G2316" s="685" t="s">
        <v>25</v>
      </c>
    </row>
    <row r="2317" spans="1:7" ht="19.899999999999999" customHeight="1">
      <c r="A2317" s="477" t="s">
        <v>576</v>
      </c>
      <c r="B2317" s="477" t="s">
        <v>577</v>
      </c>
      <c r="C2317" s="680"/>
      <c r="D2317" s="680"/>
      <c r="E2317" s="682"/>
      <c r="F2317" s="684"/>
      <c r="G2317" s="686"/>
    </row>
    <row r="2318" spans="1:7" ht="19.899999999999999" customHeight="1">
      <c r="A2318" s="515">
        <f t="shared" ref="A2318:A2328" si="804">IFERROR(VLOOKUP(C2318,T_Insumos,4,FALSE),0)</f>
        <v>0</v>
      </c>
      <c r="B2318" s="478">
        <f t="shared" ref="B2318:B2328" si="805">IFERROR(VLOOKUP(C2318,T_Insumos,5,FALSE),0)</f>
        <v>0</v>
      </c>
      <c r="C2318" s="478"/>
      <c r="D2318" s="526">
        <f t="shared" ref="D2318:D2328" si="806">IFERROR(VLOOKUP(C2318,T_Insumos,2,FALSE),0)</f>
        <v>0</v>
      </c>
      <c r="E2318" s="470"/>
      <c r="F2318" s="472">
        <f t="shared" ref="F2318:F2328" si="807">IFERROR(VLOOKUP(C2318,T_Insumos,3,FALSE),0)</f>
        <v>0</v>
      </c>
      <c r="G2318" s="472">
        <f>ROUND(E2318*F2318,2)</f>
        <v>0</v>
      </c>
    </row>
    <row r="2319" spans="1:7" ht="19.899999999999999" customHeight="1">
      <c r="A2319" s="515">
        <f t="shared" si="804"/>
        <v>0</v>
      </c>
      <c r="B2319" s="478">
        <f t="shared" si="805"/>
        <v>0</v>
      </c>
      <c r="C2319" s="478"/>
      <c r="D2319" s="526">
        <f t="shared" si="806"/>
        <v>0</v>
      </c>
      <c r="E2319" s="470"/>
      <c r="F2319" s="472">
        <f t="shared" si="807"/>
        <v>0</v>
      </c>
      <c r="G2319" s="472">
        <f t="shared" ref="G2319:G2328" si="808">ROUND(E2319*F2319,2)</f>
        <v>0</v>
      </c>
    </row>
    <row r="2320" spans="1:7" ht="19.899999999999999" customHeight="1">
      <c r="A2320" s="515">
        <f t="shared" si="804"/>
        <v>0</v>
      </c>
      <c r="B2320" s="478">
        <f t="shared" si="805"/>
        <v>0</v>
      </c>
      <c r="C2320" s="478"/>
      <c r="D2320" s="526">
        <f t="shared" si="806"/>
        <v>0</v>
      </c>
      <c r="E2320" s="470"/>
      <c r="F2320" s="472">
        <f t="shared" si="807"/>
        <v>0</v>
      </c>
      <c r="G2320" s="472">
        <f t="shared" si="808"/>
        <v>0</v>
      </c>
    </row>
    <row r="2321" spans="1:7" ht="19.899999999999999" customHeight="1">
      <c r="A2321" s="515">
        <f t="shared" si="804"/>
        <v>0</v>
      </c>
      <c r="B2321" s="478">
        <f t="shared" si="805"/>
        <v>0</v>
      </c>
      <c r="C2321" s="478"/>
      <c r="D2321" s="526">
        <f t="shared" si="806"/>
        <v>0</v>
      </c>
      <c r="E2321" s="470"/>
      <c r="F2321" s="472">
        <f t="shared" si="807"/>
        <v>0</v>
      </c>
      <c r="G2321" s="472">
        <f t="shared" si="808"/>
        <v>0</v>
      </c>
    </row>
    <row r="2322" spans="1:7" ht="19.899999999999999" customHeight="1">
      <c r="A2322" s="515">
        <f t="shared" si="804"/>
        <v>0</v>
      </c>
      <c r="B2322" s="478">
        <f t="shared" si="805"/>
        <v>0</v>
      </c>
      <c r="C2322" s="478"/>
      <c r="D2322" s="526">
        <f t="shared" si="806"/>
        <v>0</v>
      </c>
      <c r="E2322" s="470"/>
      <c r="F2322" s="472">
        <f t="shared" si="807"/>
        <v>0</v>
      </c>
      <c r="G2322" s="472">
        <f t="shared" si="808"/>
        <v>0</v>
      </c>
    </row>
    <row r="2323" spans="1:7" ht="19.899999999999999" customHeight="1">
      <c r="A2323" s="515">
        <f t="shared" si="804"/>
        <v>0</v>
      </c>
      <c r="B2323" s="478">
        <f t="shared" si="805"/>
        <v>0</v>
      </c>
      <c r="C2323" s="478"/>
      <c r="D2323" s="526">
        <f t="shared" si="806"/>
        <v>0</v>
      </c>
      <c r="E2323" s="470"/>
      <c r="F2323" s="472">
        <f t="shared" si="807"/>
        <v>0</v>
      </c>
      <c r="G2323" s="472">
        <f t="shared" si="808"/>
        <v>0</v>
      </c>
    </row>
    <row r="2324" spans="1:7" ht="19.899999999999999" customHeight="1">
      <c r="A2324" s="515">
        <f t="shared" si="804"/>
        <v>0</v>
      </c>
      <c r="B2324" s="478">
        <f t="shared" si="805"/>
        <v>0</v>
      </c>
      <c r="C2324" s="478"/>
      <c r="D2324" s="526">
        <f t="shared" si="806"/>
        <v>0</v>
      </c>
      <c r="E2324" s="470"/>
      <c r="F2324" s="472">
        <f t="shared" si="807"/>
        <v>0</v>
      </c>
      <c r="G2324" s="472">
        <f t="shared" si="808"/>
        <v>0</v>
      </c>
    </row>
    <row r="2325" spans="1:7" ht="19.899999999999999" customHeight="1">
      <c r="A2325" s="515">
        <f t="shared" si="804"/>
        <v>0</v>
      </c>
      <c r="B2325" s="478">
        <f t="shared" si="805"/>
        <v>0</v>
      </c>
      <c r="C2325" s="478"/>
      <c r="D2325" s="526">
        <f t="shared" si="806"/>
        <v>0</v>
      </c>
      <c r="E2325" s="470"/>
      <c r="F2325" s="472">
        <f t="shared" si="807"/>
        <v>0</v>
      </c>
      <c r="G2325" s="472">
        <f t="shared" si="808"/>
        <v>0</v>
      </c>
    </row>
    <row r="2326" spans="1:7" ht="19.899999999999999" customHeight="1">
      <c r="A2326" s="515">
        <f t="shared" si="804"/>
        <v>0</v>
      </c>
      <c r="B2326" s="478">
        <f t="shared" si="805"/>
        <v>0</v>
      </c>
      <c r="C2326" s="478"/>
      <c r="D2326" s="526">
        <f t="shared" si="806"/>
        <v>0</v>
      </c>
      <c r="E2326" s="470"/>
      <c r="F2326" s="472">
        <f t="shared" si="807"/>
        <v>0</v>
      </c>
      <c r="G2326" s="472">
        <f t="shared" si="808"/>
        <v>0</v>
      </c>
    </row>
    <row r="2327" spans="1:7" ht="19.899999999999999" customHeight="1">
      <c r="A2327" s="515">
        <f t="shared" si="804"/>
        <v>0</v>
      </c>
      <c r="B2327" s="478">
        <f t="shared" si="805"/>
        <v>0</v>
      </c>
      <c r="C2327" s="478"/>
      <c r="D2327" s="526">
        <f t="shared" si="806"/>
        <v>0</v>
      </c>
      <c r="E2327" s="470"/>
      <c r="F2327" s="472">
        <f t="shared" si="807"/>
        <v>0</v>
      </c>
      <c r="G2327" s="472">
        <f t="shared" si="808"/>
        <v>0</v>
      </c>
    </row>
    <row r="2328" spans="1:7" ht="19.899999999999999" customHeight="1">
      <c r="A2328" s="515">
        <f t="shared" si="804"/>
        <v>0</v>
      </c>
      <c r="B2328" s="478">
        <f t="shared" si="805"/>
        <v>0</v>
      </c>
      <c r="C2328" s="478"/>
      <c r="D2328" s="526">
        <f t="shared" si="806"/>
        <v>0</v>
      </c>
      <c r="E2328" s="470"/>
      <c r="F2328" s="472">
        <f t="shared" si="807"/>
        <v>0</v>
      </c>
      <c r="G2328" s="472">
        <f t="shared" si="808"/>
        <v>0</v>
      </c>
    </row>
    <row r="2329" spans="1:7" ht="19.899999999999999" customHeight="1">
      <c r="A2329" s="513"/>
      <c r="B2329" s="163"/>
      <c r="C2329" s="163"/>
      <c r="D2329" s="459"/>
      <c r="E2329" s="460"/>
      <c r="F2329" s="650" t="s">
        <v>28</v>
      </c>
      <c r="G2329" s="518">
        <f>SUBTOTAL(9,G2318:G2328)</f>
        <v>0</v>
      </c>
    </row>
    <row r="2330" spans="1:7" ht="19.899999999999999" customHeight="1">
      <c r="A2330" s="513"/>
      <c r="B2330" s="163"/>
      <c r="C2330" s="455" t="s">
        <v>1014</v>
      </c>
      <c r="D2330" s="459"/>
      <c r="E2330" s="460"/>
      <c r="F2330" s="461"/>
      <c r="G2330" s="514"/>
    </row>
    <row r="2331" spans="1:7" ht="19.899999999999999" customHeight="1">
      <c r="A2331" s="677" t="s">
        <v>575</v>
      </c>
      <c r="B2331" s="678"/>
      <c r="C2331" s="679" t="s">
        <v>0</v>
      </c>
      <c r="D2331" s="679" t="s">
        <v>1865</v>
      </c>
      <c r="E2331" s="681" t="s">
        <v>23</v>
      </c>
      <c r="F2331" s="683" t="s">
        <v>24</v>
      </c>
      <c r="G2331" s="685" t="s">
        <v>25</v>
      </c>
    </row>
    <row r="2332" spans="1:7" ht="19.899999999999999" customHeight="1">
      <c r="A2332" s="477" t="s">
        <v>576</v>
      </c>
      <c r="B2332" s="477" t="s">
        <v>577</v>
      </c>
      <c r="C2332" s="680"/>
      <c r="D2332" s="680"/>
      <c r="E2332" s="682"/>
      <c r="F2332" s="684"/>
      <c r="G2332" s="686"/>
    </row>
    <row r="2333" spans="1:7" ht="19.899999999999999" customHeight="1">
      <c r="A2333" s="515">
        <f>IFERROR(VLOOKUP(C2333,T_Insumos,4,FALSE),0)</f>
        <v>0</v>
      </c>
      <c r="B2333" s="478">
        <f>IFERROR(VLOOKUP(C2333,T_Insumos,5,FALSE),0)</f>
        <v>0</v>
      </c>
      <c r="C2333" s="469"/>
      <c r="D2333" s="526">
        <f>IF(C2333=0,0,"$/tnkm")</f>
        <v>0</v>
      </c>
      <c r="E2333" s="470"/>
      <c r="F2333" s="472">
        <f>IFERROR(VLOOKUP(C2333,T_Insumos,3,FALSE),0)</f>
        <v>0</v>
      </c>
      <c r="G2333" s="472">
        <f>ROUND(E2333*F2333,2)</f>
        <v>0</v>
      </c>
    </row>
    <row r="2334" spans="1:7" ht="19.899999999999999" customHeight="1">
      <c r="A2334" s="515">
        <f>IFERROR(VLOOKUP(C2334,T_Insumos,4,FALSE),0)</f>
        <v>0</v>
      </c>
      <c r="B2334" s="478">
        <f>IFERROR(VLOOKUP(C2334,T_Insumos,5,FALSE),0)</f>
        <v>0</v>
      </c>
      <c r="C2334" s="469"/>
      <c r="D2334" s="526">
        <f>IF(C2334=0,0,"$/tnkm")</f>
        <v>0</v>
      </c>
      <c r="E2334" s="486"/>
      <c r="F2334" s="472">
        <f>IFERROR(VLOOKUP(C2334,T_Insumos,3,FALSE),0)</f>
        <v>0</v>
      </c>
      <c r="G2334" s="472">
        <f t="shared" ref="G2334" si="809">ROUND(E2334*F2334,2)</f>
        <v>0</v>
      </c>
    </row>
    <row r="2335" spans="1:7" ht="19.899999999999999" customHeight="1">
      <c r="A2335" s="513"/>
      <c r="B2335" s="163"/>
      <c r="C2335" s="163"/>
      <c r="D2335" s="459"/>
      <c r="E2335" s="460"/>
      <c r="F2335" s="650" t="s">
        <v>1015</v>
      </c>
      <c r="G2335" s="518">
        <f>SUBTOTAL(9,G2333:G2334)</f>
        <v>0</v>
      </c>
    </row>
    <row r="2336" spans="1:7" ht="19.899999999999999" customHeight="1">
      <c r="A2336" s="516"/>
      <c r="B2336" s="459"/>
      <c r="C2336" s="163"/>
      <c r="D2336" s="459"/>
      <c r="E2336" s="460"/>
      <c r="F2336" s="461"/>
      <c r="G2336" s="514"/>
    </row>
    <row r="2337" spans="1:7" ht="19.899999999999999" customHeight="1">
      <c r="A2337" s="574" t="str">
        <f>B2271</f>
        <v>5.2.9</v>
      </c>
      <c r="B2337" s="571" t="str">
        <f ca="1">C2271</f>
        <v>Hormigón armado H20</v>
      </c>
      <c r="C2337" s="459"/>
      <c r="D2337" s="459" t="s">
        <v>1831</v>
      </c>
      <c r="E2337" s="572"/>
      <c r="F2337" s="573" t="str">
        <f ca="1">"$/"&amp;G2271</f>
        <v>$/m3</v>
      </c>
      <c r="G2337" s="523">
        <f>SUBTOTAL(9,G2294:G2336)</f>
        <v>0</v>
      </c>
    </row>
    <row r="2338" spans="1:7" ht="19.899999999999999" customHeight="1">
      <c r="A2338" s="519"/>
      <c r="B2338" s="520"/>
      <c r="C2338" s="521"/>
      <c r="D2338" s="521" t="s">
        <v>2041</v>
      </c>
      <c r="E2338" s="522"/>
      <c r="F2338" s="575" t="str">
        <f ca="1">"$/"&amp;G2271</f>
        <v>$/m3</v>
      </c>
      <c r="G2338" s="523">
        <f>ROUND(G2337*Coeficiente_Paso,2)</f>
        <v>0</v>
      </c>
    </row>
    <row r="2339" spans="1:7" ht="19.899999999999999" customHeight="1">
      <c r="A2339" s="163"/>
      <c r="B2339" s="163"/>
      <c r="C2339" s="163"/>
      <c r="D2339" s="163"/>
      <c r="E2339" s="163"/>
      <c r="F2339" s="163"/>
      <c r="G2339" s="163"/>
    </row>
    <row r="2340" spans="1:7" ht="19.899999999999999" customHeight="1">
      <c r="A2340" s="687" t="s">
        <v>30</v>
      </c>
      <c r="B2340" s="688"/>
      <c r="C2340" s="688"/>
      <c r="D2340" s="688"/>
      <c r="E2340" s="688"/>
      <c r="F2340" s="688"/>
      <c r="G2340" s="689"/>
    </row>
    <row r="2341" spans="1:7" ht="19.899999999999999" customHeight="1">
      <c r="A2341" s="502" t="s">
        <v>710</v>
      </c>
      <c r="B2341" s="453" t="str">
        <f>Comitente</f>
        <v>DEPARTAMENTO DE HIDRAULICA</v>
      </c>
      <c r="C2341" s="454"/>
      <c r="D2341" s="455"/>
      <c r="E2341" s="455"/>
      <c r="F2341" s="456"/>
      <c r="G2341" s="503"/>
    </row>
    <row r="2342" spans="1:7" ht="19.899999999999999" customHeight="1">
      <c r="A2342" s="502" t="s">
        <v>711</v>
      </c>
      <c r="B2342" s="453">
        <f>Contratista</f>
        <v>0</v>
      </c>
      <c r="C2342" s="457"/>
      <c r="D2342" s="457"/>
      <c r="E2342" s="457"/>
      <c r="F2342" s="453"/>
      <c r="G2342" s="504"/>
    </row>
    <row r="2343" spans="1:7" ht="19.899999999999999" customHeight="1">
      <c r="A2343" s="502" t="s">
        <v>20</v>
      </c>
      <c r="B2343" s="453" t="str">
        <f>Obra</f>
        <v>MEJORA DE LA RED DE RIEGO DEL VALLE DE JÁCHAL</v>
      </c>
      <c r="C2343" s="457"/>
      <c r="D2343" s="457"/>
      <c r="E2343" s="457"/>
      <c r="F2343" s="453" t="s">
        <v>31</v>
      </c>
      <c r="G2343" s="504" t="str">
        <f>Fecha_Base</f>
        <v>XX/07/2020</v>
      </c>
    </row>
    <row r="2344" spans="1:7" ht="19.899999999999999" customHeight="1">
      <c r="A2344" s="505" t="s">
        <v>709</v>
      </c>
      <c r="B2344" s="458" t="str">
        <f>Ubicación</f>
        <v>JACHAL</v>
      </c>
      <c r="C2344" s="458"/>
      <c r="D2344" s="459"/>
      <c r="E2344" s="460"/>
      <c r="F2344" s="461"/>
      <c r="G2344" s="506"/>
    </row>
    <row r="2345" spans="1:7" ht="19.899999999999999" customHeight="1">
      <c r="A2345" s="505" t="s">
        <v>32</v>
      </c>
      <c r="B2345" s="462">
        <f>IFERROR(VALUE(LEFT(B2346,FIND(".",B2346)-1)),"")</f>
        <v>5</v>
      </c>
      <c r="C2345" s="163" t="str">
        <f ca="1">IFERROR(VLOOKUP(B2345,T_Computo_Presupuesto,2,FALSE),0)</f>
        <v>CANAL MATRIZ</v>
      </c>
      <c r="D2345" s="163"/>
      <c r="E2345" s="460"/>
      <c r="F2345" s="461"/>
      <c r="G2345" s="506"/>
    </row>
    <row r="2346" spans="1:7" ht="19.899999999999999" customHeight="1">
      <c r="A2346" s="505" t="s">
        <v>21</v>
      </c>
      <c r="B2346" s="463" t="str">
        <f>IFERROR(VLOOKUP(COUNTIF($A$1:A2346,"ANALISIS DE PRECIOS"),T_NumeroItem,2,FALSE),"")</f>
        <v>5.2.10</v>
      </c>
      <c r="C2346" s="690" t="str">
        <f ca="1">IFERROR(VLOOKUP(B2346,T_Computo_Presupuesto,2,FALSE),0)</f>
        <v>Reemplazo de compuertas</v>
      </c>
      <c r="D2346" s="690"/>
      <c r="E2346" s="690"/>
      <c r="F2346" s="458" t="s">
        <v>22</v>
      </c>
      <c r="G2346" s="507" t="str">
        <f ca="1">IFERROR(VLOOKUP(B2346,T_Computo_Presupuesto,4,FALSE),0)</f>
        <v>unidad</v>
      </c>
    </row>
    <row r="2347" spans="1:7" ht="19.899999999999999" customHeight="1">
      <c r="A2347" s="505"/>
      <c r="B2347" s="458"/>
      <c r="C2347" s="163"/>
      <c r="D2347" s="459"/>
      <c r="E2347" s="460"/>
      <c r="F2347" s="163"/>
      <c r="G2347" s="508"/>
    </row>
    <row r="2348" spans="1:7" ht="19.899999999999999" customHeight="1">
      <c r="A2348" s="509"/>
      <c r="B2348" s="464"/>
      <c r="C2348" s="465" t="s">
        <v>998</v>
      </c>
      <c r="D2348" s="464"/>
      <c r="E2348" s="464"/>
      <c r="F2348" s="464"/>
      <c r="G2348" s="510"/>
    </row>
    <row r="2349" spans="1:7" ht="19.899999999999999" customHeight="1">
      <c r="A2349" s="505"/>
      <c r="B2349" s="466"/>
      <c r="C2349" s="163"/>
      <c r="D2349" s="459"/>
      <c r="E2349" s="460"/>
      <c r="F2349" s="458"/>
      <c r="G2349" s="507"/>
    </row>
    <row r="2350" spans="1:7" ht="19.899999999999999" customHeight="1">
      <c r="A2350" s="505"/>
      <c r="B2350" s="466"/>
      <c r="C2350" s="467" t="s">
        <v>999</v>
      </c>
      <c r="D2350" s="468" t="s">
        <v>23</v>
      </c>
      <c r="E2350" s="468" t="s">
        <v>1000</v>
      </c>
      <c r="F2350" s="468" t="s">
        <v>1001</v>
      </c>
      <c r="G2350" s="467" t="s">
        <v>1002</v>
      </c>
    </row>
    <row r="2351" spans="1:7" ht="19.899999999999999" customHeight="1">
      <c r="A2351" s="505"/>
      <c r="B2351" s="466"/>
      <c r="C2351" s="469"/>
      <c r="D2351" s="470"/>
      <c r="E2351" s="471">
        <f t="shared" ref="E2351:E2360" si="810">IFERROR(VLOOKUP(C2351,T_Equipos,4,FALSE),0)</f>
        <v>0</v>
      </c>
      <c r="F2351" s="472">
        <f t="shared" ref="F2351:F2360" si="811">IFERROR(VLOOKUP(C2351,T_Equipos,5,FALSE),0)</f>
        <v>0</v>
      </c>
      <c r="G2351" s="472">
        <f>ROUND(D2351*F2351,2)</f>
        <v>0</v>
      </c>
    </row>
    <row r="2352" spans="1:7" ht="19.899999999999999" customHeight="1">
      <c r="A2352" s="505"/>
      <c r="B2352" s="466"/>
      <c r="C2352" s="469"/>
      <c r="D2352" s="470"/>
      <c r="E2352" s="471">
        <f t="shared" si="810"/>
        <v>0</v>
      </c>
      <c r="F2352" s="472">
        <f t="shared" si="811"/>
        <v>0</v>
      </c>
      <c r="G2352" s="472">
        <f>ROUND(D2352*F2352,2)</f>
        <v>0</v>
      </c>
    </row>
    <row r="2353" spans="1:7" ht="19.899999999999999" customHeight="1">
      <c r="A2353" s="505"/>
      <c r="B2353" s="466"/>
      <c r="C2353" s="469"/>
      <c r="D2353" s="470"/>
      <c r="E2353" s="471">
        <f t="shared" si="810"/>
        <v>0</v>
      </c>
      <c r="F2353" s="472">
        <f t="shared" si="811"/>
        <v>0</v>
      </c>
      <c r="G2353" s="472">
        <f>ROUND(D2353*F2353,2)</f>
        <v>0</v>
      </c>
    </row>
    <row r="2354" spans="1:7" ht="19.899999999999999" customHeight="1">
      <c r="A2354" s="505"/>
      <c r="B2354" s="466"/>
      <c r="C2354" s="469"/>
      <c r="D2354" s="470"/>
      <c r="E2354" s="471">
        <f t="shared" si="810"/>
        <v>0</v>
      </c>
      <c r="F2354" s="472">
        <f t="shared" si="811"/>
        <v>0</v>
      </c>
      <c r="G2354" s="472">
        <f>ROUND(D2354*F2354,2)</f>
        <v>0</v>
      </c>
    </row>
    <row r="2355" spans="1:7" ht="19.899999999999999" customHeight="1">
      <c r="A2355" s="505"/>
      <c r="B2355" s="466"/>
      <c r="C2355" s="469"/>
      <c r="D2355" s="470"/>
      <c r="E2355" s="471">
        <f t="shared" si="810"/>
        <v>0</v>
      </c>
      <c r="F2355" s="472">
        <f t="shared" si="811"/>
        <v>0</v>
      </c>
      <c r="G2355" s="472">
        <f t="shared" ref="G2355:G2360" si="812">ROUND(D2355*F2355,2)</f>
        <v>0</v>
      </c>
    </row>
    <row r="2356" spans="1:7" ht="19.899999999999999" customHeight="1">
      <c r="A2356" s="505"/>
      <c r="B2356" s="466"/>
      <c r="C2356" s="469"/>
      <c r="D2356" s="470"/>
      <c r="E2356" s="471">
        <f t="shared" si="810"/>
        <v>0</v>
      </c>
      <c r="F2356" s="472">
        <f t="shared" si="811"/>
        <v>0</v>
      </c>
      <c r="G2356" s="472">
        <f t="shared" si="812"/>
        <v>0</v>
      </c>
    </row>
    <row r="2357" spans="1:7" ht="19.899999999999999" customHeight="1">
      <c r="A2357" s="505"/>
      <c r="B2357" s="466"/>
      <c r="C2357" s="469"/>
      <c r="D2357" s="470"/>
      <c r="E2357" s="471">
        <f t="shared" si="810"/>
        <v>0</v>
      </c>
      <c r="F2357" s="472">
        <f t="shared" si="811"/>
        <v>0</v>
      </c>
      <c r="G2357" s="472">
        <f t="shared" si="812"/>
        <v>0</v>
      </c>
    </row>
    <row r="2358" spans="1:7" ht="19.899999999999999" customHeight="1">
      <c r="A2358" s="505"/>
      <c r="B2358" s="466"/>
      <c r="C2358" s="469"/>
      <c r="D2358" s="470"/>
      <c r="E2358" s="471">
        <f t="shared" si="810"/>
        <v>0</v>
      </c>
      <c r="F2358" s="472">
        <f t="shared" si="811"/>
        <v>0</v>
      </c>
      <c r="G2358" s="472">
        <f t="shared" si="812"/>
        <v>0</v>
      </c>
    </row>
    <row r="2359" spans="1:7" ht="19.899999999999999" customHeight="1">
      <c r="A2359" s="505"/>
      <c r="B2359" s="466"/>
      <c r="C2359" s="469"/>
      <c r="D2359" s="470"/>
      <c r="E2359" s="471">
        <f t="shared" si="810"/>
        <v>0</v>
      </c>
      <c r="F2359" s="472">
        <f t="shared" si="811"/>
        <v>0</v>
      </c>
      <c r="G2359" s="472">
        <f t="shared" si="812"/>
        <v>0</v>
      </c>
    </row>
    <row r="2360" spans="1:7" ht="19.899999999999999" customHeight="1">
      <c r="A2360" s="505"/>
      <c r="B2360" s="466"/>
      <c r="C2360" s="469"/>
      <c r="D2360" s="470"/>
      <c r="E2360" s="471">
        <f t="shared" si="810"/>
        <v>0</v>
      </c>
      <c r="F2360" s="472">
        <f t="shared" si="811"/>
        <v>0</v>
      </c>
      <c r="G2360" s="472">
        <f t="shared" si="812"/>
        <v>0</v>
      </c>
    </row>
    <row r="2361" spans="1:7" ht="19.899999999999999" customHeight="1">
      <c r="A2361" s="505"/>
      <c r="B2361" s="466"/>
      <c r="C2361" s="163"/>
      <c r="D2361" s="163"/>
      <c r="E2361" s="473"/>
      <c r="F2361" s="458"/>
      <c r="G2361" s="507"/>
    </row>
    <row r="2362" spans="1:7" ht="19.899999999999999" customHeight="1">
      <c r="A2362" s="505"/>
      <c r="B2362" s="163"/>
      <c r="C2362" s="455" t="s">
        <v>1003</v>
      </c>
      <c r="D2362" s="458" t="s">
        <v>1000</v>
      </c>
      <c r="E2362" s="524">
        <f>SUMPRODUCT(D2351:D2360,E2351:E2360)</f>
        <v>0</v>
      </c>
      <c r="F2362" s="458" t="s">
        <v>1004</v>
      </c>
      <c r="G2362" s="525">
        <f>SUM(G2351:G2360)</f>
        <v>0</v>
      </c>
    </row>
    <row r="2363" spans="1:7" ht="19.899999999999999" customHeight="1">
      <c r="A2363" s="505"/>
      <c r="B2363" s="466"/>
      <c r="C2363" s="474"/>
      <c r="D2363" s="473"/>
      <c r="E2363" s="460"/>
      <c r="F2363" s="458"/>
      <c r="G2363" s="511"/>
    </row>
    <row r="2364" spans="1:7" ht="19.899999999999999" customHeight="1">
      <c r="A2364" s="512"/>
      <c r="B2364" s="466"/>
      <c r="C2364" s="458" t="s">
        <v>1005</v>
      </c>
      <c r="D2364" s="475"/>
      <c r="E2364" s="476" t="str">
        <f ca="1">G2346&amp;"/día"</f>
        <v>unidad/día</v>
      </c>
      <c r="F2364" s="452"/>
      <c r="G2364" s="507"/>
    </row>
    <row r="2365" spans="1:7" ht="19.899999999999999" customHeight="1">
      <c r="A2365" s="505"/>
      <c r="B2365" s="466"/>
      <c r="C2365" s="163"/>
      <c r="D2365" s="459"/>
      <c r="E2365" s="460"/>
      <c r="F2365" s="458"/>
      <c r="G2365" s="507"/>
    </row>
    <row r="2366" spans="1:7" ht="19.899999999999999" customHeight="1">
      <c r="A2366" s="677" t="s">
        <v>575</v>
      </c>
      <c r="B2366" s="678"/>
      <c r="C2366" s="679" t="s">
        <v>0</v>
      </c>
      <c r="D2366" s="691" t="s">
        <v>1864</v>
      </c>
      <c r="E2366" s="691" t="s">
        <v>1863</v>
      </c>
      <c r="F2366" s="683" t="s">
        <v>1006</v>
      </c>
      <c r="G2366" s="685" t="s">
        <v>25</v>
      </c>
    </row>
    <row r="2367" spans="1:7" ht="19.899999999999999" customHeight="1">
      <c r="A2367" s="477" t="s">
        <v>576</v>
      </c>
      <c r="B2367" s="477" t="s">
        <v>577</v>
      </c>
      <c r="C2367" s="680"/>
      <c r="D2367" s="692"/>
      <c r="E2367" s="682"/>
      <c r="F2367" s="684"/>
      <c r="G2367" s="686"/>
    </row>
    <row r="2368" spans="1:7" ht="19.899999999999999" customHeight="1">
      <c r="A2368" s="513"/>
      <c r="B2368" s="163"/>
      <c r="C2368" s="455" t="s">
        <v>1007</v>
      </c>
      <c r="D2368" s="460"/>
      <c r="E2368" s="460"/>
      <c r="F2368" s="163"/>
      <c r="G2368" s="514"/>
    </row>
    <row r="2369" spans="1:7" ht="19.899999999999999" customHeight="1">
      <c r="A2369" s="515">
        <f t="shared" ref="A2369:A2377" si="813">IFERROR(VLOOKUP(C2369,T_Insumos,4,FALSE),0)</f>
        <v>0</v>
      </c>
      <c r="B2369" s="478">
        <f t="shared" ref="B2369:B2377" si="814">IFERROR(VLOOKUP(C2369,T_Insumos,5,FALSE),0)</f>
        <v>0</v>
      </c>
      <c r="C2369" s="469"/>
      <c r="D2369" s="479">
        <f t="shared" ref="D2369:D2377" si="815">IFERROR(VLOOKUP(C2369,T_Insumos,3,FALSE),0)</f>
        <v>0</v>
      </c>
      <c r="E2369" s="472">
        <f>D2369*$G$23</f>
        <v>0</v>
      </c>
      <c r="F2369" s="475">
        <f>IF(C2369="",0,IFERROR(VLOOKUP(COUNTIF($A$1:A2369,"ANALISIS DE PRECIOS"),T_Rendimiento_Equipo,5,FALSE),0))</f>
        <v>0</v>
      </c>
      <c r="G2369" s="472">
        <f>IFERROR(ROUND(E2369/F2369,2),0)</f>
        <v>0</v>
      </c>
    </row>
    <row r="2370" spans="1:7" ht="19.899999999999999" customHeight="1">
      <c r="A2370" s="515">
        <f t="shared" si="813"/>
        <v>0</v>
      </c>
      <c r="B2370" s="478">
        <f t="shared" si="814"/>
        <v>0</v>
      </c>
      <c r="C2370" s="469"/>
      <c r="D2370" s="479">
        <f t="shared" si="815"/>
        <v>0</v>
      </c>
      <c r="E2370" s="472">
        <f t="shared" ref="E2370:E2377" si="816">D2370*$G$23</f>
        <v>0</v>
      </c>
      <c r="F2370" s="475">
        <f>IF(C2370="",0,IFERROR(VLOOKUP(COUNTIF($A$1:A2370,"ANALISIS DE PRECIOS"),T_Rendimiento_Equipo,5,FALSE),0))</f>
        <v>0</v>
      </c>
      <c r="G2370" s="472">
        <f t="shared" ref="G2370:G2377" si="817">IFERROR(ROUND(E2370/F2370,2),0)</f>
        <v>0</v>
      </c>
    </row>
    <row r="2371" spans="1:7" ht="19.899999999999999" customHeight="1">
      <c r="A2371" s="515">
        <f t="shared" si="813"/>
        <v>0</v>
      </c>
      <c r="B2371" s="478">
        <f t="shared" si="814"/>
        <v>0</v>
      </c>
      <c r="C2371" s="480"/>
      <c r="D2371" s="479">
        <f t="shared" si="815"/>
        <v>0</v>
      </c>
      <c r="E2371" s="472">
        <f t="shared" si="816"/>
        <v>0</v>
      </c>
      <c r="F2371" s="475">
        <f>IF(C2371="",0,IFERROR(VLOOKUP(COUNTIF($A$1:A2371,"ANALISIS DE PRECIOS"),T_Rendimiento_Equipo,5,FALSE),0))</f>
        <v>0</v>
      </c>
      <c r="G2371" s="472">
        <f t="shared" si="817"/>
        <v>0</v>
      </c>
    </row>
    <row r="2372" spans="1:7" ht="19.899999999999999" customHeight="1">
      <c r="A2372" s="515">
        <f t="shared" si="813"/>
        <v>0</v>
      </c>
      <c r="B2372" s="478">
        <f t="shared" si="814"/>
        <v>0</v>
      </c>
      <c r="C2372" s="480"/>
      <c r="D2372" s="479">
        <f t="shared" si="815"/>
        <v>0</v>
      </c>
      <c r="E2372" s="472">
        <f t="shared" si="816"/>
        <v>0</v>
      </c>
      <c r="F2372" s="475">
        <f>IF(C2372="",0,IFERROR(VLOOKUP(COUNTIF($A$1:A2372,"ANALISIS DE PRECIOS"),T_Rendimiento_Equipo,5,FALSE),0))</f>
        <v>0</v>
      </c>
      <c r="G2372" s="472">
        <f t="shared" si="817"/>
        <v>0</v>
      </c>
    </row>
    <row r="2373" spans="1:7" ht="19.899999999999999" customHeight="1">
      <c r="A2373" s="515">
        <f t="shared" si="813"/>
        <v>0</v>
      </c>
      <c r="B2373" s="478">
        <f t="shared" si="814"/>
        <v>0</v>
      </c>
      <c r="C2373" s="480"/>
      <c r="D2373" s="479">
        <f t="shared" si="815"/>
        <v>0</v>
      </c>
      <c r="E2373" s="472">
        <f t="shared" si="816"/>
        <v>0</v>
      </c>
      <c r="F2373" s="475">
        <f>IF(C2373="",0,IFERROR(VLOOKUP(COUNTIF($A$1:A2373,"ANALISIS DE PRECIOS"),T_Rendimiento_Equipo,5,FALSE),0))</f>
        <v>0</v>
      </c>
      <c r="G2373" s="472">
        <f t="shared" si="817"/>
        <v>0</v>
      </c>
    </row>
    <row r="2374" spans="1:7" ht="19.899999999999999" customHeight="1">
      <c r="A2374" s="515">
        <f t="shared" si="813"/>
        <v>0</v>
      </c>
      <c r="B2374" s="478">
        <f t="shared" si="814"/>
        <v>0</v>
      </c>
      <c r="C2374" s="480"/>
      <c r="D2374" s="479">
        <f t="shared" si="815"/>
        <v>0</v>
      </c>
      <c r="E2374" s="472">
        <f t="shared" si="816"/>
        <v>0</v>
      </c>
      <c r="F2374" s="475">
        <f>IF(C2374="",0,IFERROR(VLOOKUP(COUNTIF($A$1:A2374,"ANALISIS DE PRECIOS"),T_Rendimiento_Equipo,5,FALSE),0))</f>
        <v>0</v>
      </c>
      <c r="G2374" s="472">
        <f t="shared" si="817"/>
        <v>0</v>
      </c>
    </row>
    <row r="2375" spans="1:7" ht="19.899999999999999" customHeight="1">
      <c r="A2375" s="515">
        <f t="shared" si="813"/>
        <v>0</v>
      </c>
      <c r="B2375" s="478">
        <f t="shared" si="814"/>
        <v>0</v>
      </c>
      <c r="C2375" s="480"/>
      <c r="D2375" s="479">
        <f t="shared" si="815"/>
        <v>0</v>
      </c>
      <c r="E2375" s="472">
        <f t="shared" si="816"/>
        <v>0</v>
      </c>
      <c r="F2375" s="475">
        <f>IF(C2375="",0,IFERROR(VLOOKUP(COUNTIF($A$1:A2375,"ANALISIS DE PRECIOS"),T_Rendimiento_Equipo,5,FALSE),0))</f>
        <v>0</v>
      </c>
      <c r="G2375" s="472">
        <f t="shared" si="817"/>
        <v>0</v>
      </c>
    </row>
    <row r="2376" spans="1:7" ht="19.899999999999999" customHeight="1">
      <c r="A2376" s="515">
        <f t="shared" si="813"/>
        <v>0</v>
      </c>
      <c r="B2376" s="478">
        <f t="shared" si="814"/>
        <v>0</v>
      </c>
      <c r="C2376" s="480"/>
      <c r="D2376" s="479">
        <f t="shared" si="815"/>
        <v>0</v>
      </c>
      <c r="E2376" s="472">
        <f t="shared" si="816"/>
        <v>0</v>
      </c>
      <c r="F2376" s="475">
        <f>IF(C2376="",0,IFERROR(VLOOKUP(COUNTIF($A$1:A2376,"ANALISIS DE PRECIOS"),T_Rendimiento_Equipo,5,FALSE),0))</f>
        <v>0</v>
      </c>
      <c r="G2376" s="472">
        <f t="shared" si="817"/>
        <v>0</v>
      </c>
    </row>
    <row r="2377" spans="1:7" ht="19.899999999999999" customHeight="1">
      <c r="A2377" s="515">
        <f t="shared" si="813"/>
        <v>0</v>
      </c>
      <c r="B2377" s="478">
        <f t="shared" si="814"/>
        <v>0</v>
      </c>
      <c r="C2377" s="469"/>
      <c r="D2377" s="479">
        <f t="shared" si="815"/>
        <v>0</v>
      </c>
      <c r="E2377" s="472">
        <f t="shared" si="816"/>
        <v>0</v>
      </c>
      <c r="F2377" s="475">
        <f>IF(C2377="",0,IFERROR(VLOOKUP(COUNTIF($A$1:A2377,"ANALISIS DE PRECIOS"),T_Rendimiento_Equipo,5,FALSE),0))</f>
        <v>0</v>
      </c>
      <c r="G2377" s="472">
        <f t="shared" si="817"/>
        <v>0</v>
      </c>
    </row>
    <row r="2378" spans="1:7" ht="19.899999999999999" customHeight="1">
      <c r="A2378" s="516"/>
      <c r="B2378" s="459"/>
      <c r="C2378" s="163"/>
      <c r="D2378" s="459"/>
      <c r="E2378" s="460"/>
      <c r="F2378" s="650" t="s">
        <v>26</v>
      </c>
      <c r="G2378" s="517">
        <f>SUBTOTAL(9,G2369:G2377)</f>
        <v>0</v>
      </c>
    </row>
    <row r="2379" spans="1:7" ht="19.899999999999999" customHeight="1">
      <c r="A2379" s="513"/>
      <c r="B2379" s="163"/>
      <c r="C2379" s="455" t="s">
        <v>712</v>
      </c>
      <c r="D2379" s="459"/>
      <c r="E2379" s="460"/>
      <c r="F2379" s="461"/>
      <c r="G2379" s="514"/>
    </row>
    <row r="2380" spans="1:7" ht="19.899999999999999" customHeight="1">
      <c r="A2380" s="677" t="s">
        <v>575</v>
      </c>
      <c r="B2380" s="678"/>
      <c r="C2380" s="679" t="s">
        <v>0</v>
      </c>
      <c r="D2380" s="681" t="s">
        <v>23</v>
      </c>
      <c r="E2380" s="681" t="s">
        <v>1830</v>
      </c>
      <c r="F2380" s="683" t="s">
        <v>1006</v>
      </c>
      <c r="G2380" s="685" t="s">
        <v>25</v>
      </c>
    </row>
    <row r="2381" spans="1:7" ht="19.899999999999999" customHeight="1">
      <c r="A2381" s="477" t="s">
        <v>576</v>
      </c>
      <c r="B2381" s="477" t="s">
        <v>577</v>
      </c>
      <c r="C2381" s="680"/>
      <c r="D2381" s="682"/>
      <c r="E2381" s="682"/>
      <c r="F2381" s="684"/>
      <c r="G2381" s="686"/>
    </row>
    <row r="2382" spans="1:7" ht="19.899999999999999" customHeight="1">
      <c r="A2382" s="515">
        <f t="shared" ref="A2382:A2388" si="818">IFERROR(VLOOKUP(C2382,T_Insumos,4,FALSE),0)</f>
        <v>0</v>
      </c>
      <c r="B2382" s="478">
        <f t="shared" ref="B2382:B2388" si="819">IFERROR(VLOOKUP(C2382,T_Insumos,5,FALSE),0)</f>
        <v>0</v>
      </c>
      <c r="C2382" s="482"/>
      <c r="D2382" s="475"/>
      <c r="E2382" s="472">
        <f t="shared" ref="E2382:E2388" si="820">IFERROR(VLOOKUP(C2382,T_Insumos,3,FALSE),0)</f>
        <v>0</v>
      </c>
      <c r="F2382" s="475">
        <f>IF(C2382="",0,IFERROR(VLOOKUP(COUNTIF($A$1:A2382,"ANALISIS DE PRECIOS"),T_Rendimiento_Equipo,5,FALSE),0))</f>
        <v>0</v>
      </c>
      <c r="G2382" s="472">
        <f>IFERROR(ROUND(D2382*E2382/F2382,2),0)</f>
        <v>0</v>
      </c>
    </row>
    <row r="2383" spans="1:7" ht="19.899999999999999" customHeight="1">
      <c r="A2383" s="515">
        <f t="shared" si="818"/>
        <v>0</v>
      </c>
      <c r="B2383" s="478">
        <f t="shared" si="819"/>
        <v>0</v>
      </c>
      <c r="C2383" s="469"/>
      <c r="D2383" s="475"/>
      <c r="E2383" s="472">
        <f t="shared" si="820"/>
        <v>0</v>
      </c>
      <c r="F2383" s="475">
        <f>IF(C2383="",0,IFERROR(VLOOKUP(COUNTIF($A$1:A2383,"ANALISIS DE PRECIOS"),T_Rendimiento_Equipo,5,FALSE),0))</f>
        <v>0</v>
      </c>
      <c r="G2383" s="472">
        <f t="shared" ref="G2383:G2388" si="821">IFERROR(ROUND(D2383*E2383/F2383,2),0)</f>
        <v>0</v>
      </c>
    </row>
    <row r="2384" spans="1:7" ht="19.899999999999999" customHeight="1">
      <c r="A2384" s="515">
        <f t="shared" si="818"/>
        <v>0</v>
      </c>
      <c r="B2384" s="478">
        <f t="shared" si="819"/>
        <v>0</v>
      </c>
      <c r="C2384" s="469"/>
      <c r="D2384" s="475"/>
      <c r="E2384" s="472">
        <f t="shared" si="820"/>
        <v>0</v>
      </c>
      <c r="F2384" s="475">
        <f>IF(C2384="",0,IFERROR(VLOOKUP(COUNTIF($A$1:A2384,"ANALISIS DE PRECIOS"),T_Rendimiento_Equipo,5,FALSE),0))</f>
        <v>0</v>
      </c>
      <c r="G2384" s="472">
        <f t="shared" si="821"/>
        <v>0</v>
      </c>
    </row>
    <row r="2385" spans="1:7" ht="19.899999999999999" customHeight="1">
      <c r="A2385" s="515">
        <f t="shared" si="818"/>
        <v>0</v>
      </c>
      <c r="B2385" s="478">
        <f t="shared" si="819"/>
        <v>0</v>
      </c>
      <c r="C2385" s="469"/>
      <c r="D2385" s="475"/>
      <c r="E2385" s="472">
        <f t="shared" si="820"/>
        <v>0</v>
      </c>
      <c r="F2385" s="475">
        <f>IF(C2385="",0,IFERROR(VLOOKUP(COUNTIF($A$1:A2385,"ANALISIS DE PRECIOS"),T_Rendimiento_Equipo,5,FALSE),0))</f>
        <v>0</v>
      </c>
      <c r="G2385" s="472">
        <f t="shared" si="821"/>
        <v>0</v>
      </c>
    </row>
    <row r="2386" spans="1:7" ht="19.899999999999999" customHeight="1">
      <c r="A2386" s="515">
        <f t="shared" si="818"/>
        <v>0</v>
      </c>
      <c r="B2386" s="478">
        <f t="shared" si="819"/>
        <v>0</v>
      </c>
      <c r="C2386" s="469"/>
      <c r="D2386" s="475"/>
      <c r="E2386" s="472">
        <f t="shared" si="820"/>
        <v>0</v>
      </c>
      <c r="F2386" s="475">
        <f>IF(C2386="",0,IFERROR(VLOOKUP(COUNTIF($A$1:A2386,"ANALISIS DE PRECIOS"),T_Rendimiento_Equipo,5,FALSE),0))</f>
        <v>0</v>
      </c>
      <c r="G2386" s="472">
        <f t="shared" si="821"/>
        <v>0</v>
      </c>
    </row>
    <row r="2387" spans="1:7" ht="19.899999999999999" customHeight="1">
      <c r="A2387" s="515">
        <f t="shared" si="818"/>
        <v>0</v>
      </c>
      <c r="B2387" s="478">
        <f t="shared" si="819"/>
        <v>0</v>
      </c>
      <c r="C2387" s="469"/>
      <c r="D2387" s="483"/>
      <c r="E2387" s="472">
        <f t="shared" si="820"/>
        <v>0</v>
      </c>
      <c r="F2387" s="475">
        <f>IF(C2387="",0,IFERROR(VLOOKUP(COUNTIF($A$1:A2387,"ANALISIS DE PRECIOS"),T_Rendimiento_Equipo,5,FALSE),0))</f>
        <v>0</v>
      </c>
      <c r="G2387" s="472">
        <f t="shared" si="821"/>
        <v>0</v>
      </c>
    </row>
    <row r="2388" spans="1:7" ht="19.899999999999999" customHeight="1">
      <c r="A2388" s="515">
        <f t="shared" si="818"/>
        <v>0</v>
      </c>
      <c r="B2388" s="478">
        <f t="shared" si="819"/>
        <v>0</v>
      </c>
      <c r="C2388" s="478"/>
      <c r="D2388" s="484"/>
      <c r="E2388" s="472">
        <f t="shared" si="820"/>
        <v>0</v>
      </c>
      <c r="F2388" s="475">
        <f>IF(C2388="",0,IFERROR(VLOOKUP(COUNTIF($A$1:A2388,"ANALISIS DE PRECIOS"),T_Rendimiento_Equipo,5,FALSE),0))</f>
        <v>0</v>
      </c>
      <c r="G2388" s="472">
        <f t="shared" si="821"/>
        <v>0</v>
      </c>
    </row>
    <row r="2389" spans="1:7" ht="19.899999999999999" customHeight="1">
      <c r="A2389" s="516"/>
      <c r="B2389" s="459"/>
      <c r="C2389" s="163"/>
      <c r="D2389" s="459"/>
      <c r="E2389" s="460"/>
      <c r="F2389" s="650" t="s">
        <v>27</v>
      </c>
      <c r="G2389" s="518">
        <f>SUBTOTAL(9,G2382:G2388)</f>
        <v>0</v>
      </c>
    </row>
    <row r="2390" spans="1:7" ht="19.899999999999999" customHeight="1">
      <c r="A2390" s="513"/>
      <c r="B2390" s="163"/>
      <c r="C2390" s="455" t="s">
        <v>1013</v>
      </c>
      <c r="D2390" s="459"/>
      <c r="E2390" s="460"/>
      <c r="F2390" s="461"/>
      <c r="G2390" s="514"/>
    </row>
    <row r="2391" spans="1:7" ht="19.899999999999999" customHeight="1">
      <c r="A2391" s="677" t="s">
        <v>575</v>
      </c>
      <c r="B2391" s="678"/>
      <c r="C2391" s="679" t="s">
        <v>0</v>
      </c>
      <c r="D2391" s="679" t="s">
        <v>1865</v>
      </c>
      <c r="E2391" s="681" t="s">
        <v>23</v>
      </c>
      <c r="F2391" s="683" t="s">
        <v>24</v>
      </c>
      <c r="G2391" s="685" t="s">
        <v>25</v>
      </c>
    </row>
    <row r="2392" spans="1:7" ht="19.899999999999999" customHeight="1">
      <c r="A2392" s="477" t="s">
        <v>576</v>
      </c>
      <c r="B2392" s="477" t="s">
        <v>577</v>
      </c>
      <c r="C2392" s="680"/>
      <c r="D2392" s="680"/>
      <c r="E2392" s="682"/>
      <c r="F2392" s="684"/>
      <c r="G2392" s="686"/>
    </row>
    <row r="2393" spans="1:7" ht="19.899999999999999" customHeight="1">
      <c r="A2393" s="515">
        <f t="shared" ref="A2393:A2403" si="822">IFERROR(VLOOKUP(C2393,T_Insumos,4,FALSE),0)</f>
        <v>0</v>
      </c>
      <c r="B2393" s="478">
        <f t="shared" ref="B2393:B2403" si="823">IFERROR(VLOOKUP(C2393,T_Insumos,5,FALSE),0)</f>
        <v>0</v>
      </c>
      <c r="C2393" s="478"/>
      <c r="D2393" s="526">
        <f t="shared" ref="D2393:D2403" si="824">IFERROR(VLOOKUP(C2393,T_Insumos,2,FALSE),0)</f>
        <v>0</v>
      </c>
      <c r="E2393" s="470"/>
      <c r="F2393" s="472">
        <f t="shared" ref="F2393:F2403" si="825">IFERROR(VLOOKUP(C2393,T_Insumos,3,FALSE),0)</f>
        <v>0</v>
      </c>
      <c r="G2393" s="472">
        <f>ROUND(E2393*F2393,2)</f>
        <v>0</v>
      </c>
    </row>
    <row r="2394" spans="1:7" ht="19.899999999999999" customHeight="1">
      <c r="A2394" s="515">
        <f t="shared" si="822"/>
        <v>0</v>
      </c>
      <c r="B2394" s="478">
        <f t="shared" si="823"/>
        <v>0</v>
      </c>
      <c r="C2394" s="478"/>
      <c r="D2394" s="526">
        <f t="shared" si="824"/>
        <v>0</v>
      </c>
      <c r="E2394" s="470"/>
      <c r="F2394" s="472">
        <f t="shared" si="825"/>
        <v>0</v>
      </c>
      <c r="G2394" s="472">
        <f t="shared" ref="G2394:G2403" si="826">ROUND(E2394*F2394,2)</f>
        <v>0</v>
      </c>
    </row>
    <row r="2395" spans="1:7" ht="19.899999999999999" customHeight="1">
      <c r="A2395" s="515">
        <f t="shared" si="822"/>
        <v>0</v>
      </c>
      <c r="B2395" s="478">
        <f t="shared" si="823"/>
        <v>0</v>
      </c>
      <c r="C2395" s="478"/>
      <c r="D2395" s="526">
        <f t="shared" si="824"/>
        <v>0</v>
      </c>
      <c r="E2395" s="470"/>
      <c r="F2395" s="472">
        <f t="shared" si="825"/>
        <v>0</v>
      </c>
      <c r="G2395" s="472">
        <f t="shared" si="826"/>
        <v>0</v>
      </c>
    </row>
    <row r="2396" spans="1:7" ht="19.899999999999999" customHeight="1">
      <c r="A2396" s="515">
        <f t="shared" si="822"/>
        <v>0</v>
      </c>
      <c r="B2396" s="478">
        <f t="shared" si="823"/>
        <v>0</v>
      </c>
      <c r="C2396" s="478"/>
      <c r="D2396" s="526">
        <f t="shared" si="824"/>
        <v>0</v>
      </c>
      <c r="E2396" s="470"/>
      <c r="F2396" s="472">
        <f t="shared" si="825"/>
        <v>0</v>
      </c>
      <c r="G2396" s="472">
        <f t="shared" si="826"/>
        <v>0</v>
      </c>
    </row>
    <row r="2397" spans="1:7" ht="19.899999999999999" customHeight="1">
      <c r="A2397" s="515">
        <f t="shared" si="822"/>
        <v>0</v>
      </c>
      <c r="B2397" s="478">
        <f t="shared" si="823"/>
        <v>0</v>
      </c>
      <c r="C2397" s="478"/>
      <c r="D2397" s="526">
        <f t="shared" si="824"/>
        <v>0</v>
      </c>
      <c r="E2397" s="470"/>
      <c r="F2397" s="472">
        <f t="shared" si="825"/>
        <v>0</v>
      </c>
      <c r="G2397" s="472">
        <f t="shared" si="826"/>
        <v>0</v>
      </c>
    </row>
    <row r="2398" spans="1:7" ht="19.899999999999999" customHeight="1">
      <c r="A2398" s="515">
        <f t="shared" si="822"/>
        <v>0</v>
      </c>
      <c r="B2398" s="478">
        <f t="shared" si="823"/>
        <v>0</v>
      </c>
      <c r="C2398" s="478"/>
      <c r="D2398" s="526">
        <f t="shared" si="824"/>
        <v>0</v>
      </c>
      <c r="E2398" s="470"/>
      <c r="F2398" s="472">
        <f t="shared" si="825"/>
        <v>0</v>
      </c>
      <c r="G2398" s="472">
        <f t="shared" si="826"/>
        <v>0</v>
      </c>
    </row>
    <row r="2399" spans="1:7" ht="19.899999999999999" customHeight="1">
      <c r="A2399" s="515">
        <f t="shared" si="822"/>
        <v>0</v>
      </c>
      <c r="B2399" s="478">
        <f t="shared" si="823"/>
        <v>0</v>
      </c>
      <c r="C2399" s="478"/>
      <c r="D2399" s="526">
        <f t="shared" si="824"/>
        <v>0</v>
      </c>
      <c r="E2399" s="470"/>
      <c r="F2399" s="472">
        <f t="shared" si="825"/>
        <v>0</v>
      </c>
      <c r="G2399" s="472">
        <f t="shared" si="826"/>
        <v>0</v>
      </c>
    </row>
    <row r="2400" spans="1:7" ht="19.899999999999999" customHeight="1">
      <c r="A2400" s="515">
        <f t="shared" si="822"/>
        <v>0</v>
      </c>
      <c r="B2400" s="478">
        <f t="shared" si="823"/>
        <v>0</v>
      </c>
      <c r="C2400" s="478"/>
      <c r="D2400" s="526">
        <f t="shared" si="824"/>
        <v>0</v>
      </c>
      <c r="E2400" s="470"/>
      <c r="F2400" s="472">
        <f t="shared" si="825"/>
        <v>0</v>
      </c>
      <c r="G2400" s="472">
        <f t="shared" si="826"/>
        <v>0</v>
      </c>
    </row>
    <row r="2401" spans="1:7" ht="19.899999999999999" customHeight="1">
      <c r="A2401" s="515">
        <f t="shared" si="822"/>
        <v>0</v>
      </c>
      <c r="B2401" s="478">
        <f t="shared" si="823"/>
        <v>0</v>
      </c>
      <c r="C2401" s="478"/>
      <c r="D2401" s="526">
        <f t="shared" si="824"/>
        <v>0</v>
      </c>
      <c r="E2401" s="470"/>
      <c r="F2401" s="472">
        <f t="shared" si="825"/>
        <v>0</v>
      </c>
      <c r="G2401" s="472">
        <f t="shared" si="826"/>
        <v>0</v>
      </c>
    </row>
    <row r="2402" spans="1:7" ht="19.899999999999999" customHeight="1">
      <c r="A2402" s="515">
        <f t="shared" si="822"/>
        <v>0</v>
      </c>
      <c r="B2402" s="478">
        <f t="shared" si="823"/>
        <v>0</v>
      </c>
      <c r="C2402" s="478"/>
      <c r="D2402" s="526">
        <f t="shared" si="824"/>
        <v>0</v>
      </c>
      <c r="E2402" s="470"/>
      <c r="F2402" s="472">
        <f t="shared" si="825"/>
        <v>0</v>
      </c>
      <c r="G2402" s="472">
        <f t="shared" si="826"/>
        <v>0</v>
      </c>
    </row>
    <row r="2403" spans="1:7" ht="19.899999999999999" customHeight="1">
      <c r="A2403" s="515">
        <f t="shared" si="822"/>
        <v>0</v>
      </c>
      <c r="B2403" s="478">
        <f t="shared" si="823"/>
        <v>0</v>
      </c>
      <c r="C2403" s="478"/>
      <c r="D2403" s="526">
        <f t="shared" si="824"/>
        <v>0</v>
      </c>
      <c r="E2403" s="470"/>
      <c r="F2403" s="472">
        <f t="shared" si="825"/>
        <v>0</v>
      </c>
      <c r="G2403" s="472">
        <f t="shared" si="826"/>
        <v>0</v>
      </c>
    </row>
    <row r="2404" spans="1:7" ht="19.899999999999999" customHeight="1">
      <c r="A2404" s="513"/>
      <c r="B2404" s="163"/>
      <c r="C2404" s="163"/>
      <c r="D2404" s="459"/>
      <c r="E2404" s="460"/>
      <c r="F2404" s="650" t="s">
        <v>28</v>
      </c>
      <c r="G2404" s="518">
        <f>SUBTOTAL(9,G2393:G2403)</f>
        <v>0</v>
      </c>
    </row>
    <row r="2405" spans="1:7" ht="19.899999999999999" customHeight="1">
      <c r="A2405" s="513"/>
      <c r="B2405" s="163"/>
      <c r="C2405" s="455" t="s">
        <v>1014</v>
      </c>
      <c r="D2405" s="459"/>
      <c r="E2405" s="460"/>
      <c r="F2405" s="461"/>
      <c r="G2405" s="514"/>
    </row>
    <row r="2406" spans="1:7" ht="19.899999999999999" customHeight="1">
      <c r="A2406" s="677" t="s">
        <v>575</v>
      </c>
      <c r="B2406" s="678"/>
      <c r="C2406" s="679" t="s">
        <v>0</v>
      </c>
      <c r="D2406" s="679" t="s">
        <v>1865</v>
      </c>
      <c r="E2406" s="681" t="s">
        <v>23</v>
      </c>
      <c r="F2406" s="683" t="s">
        <v>24</v>
      </c>
      <c r="G2406" s="685" t="s">
        <v>25</v>
      </c>
    </row>
    <row r="2407" spans="1:7" ht="19.899999999999999" customHeight="1">
      <c r="A2407" s="477" t="s">
        <v>576</v>
      </c>
      <c r="B2407" s="477" t="s">
        <v>577</v>
      </c>
      <c r="C2407" s="680"/>
      <c r="D2407" s="680"/>
      <c r="E2407" s="682"/>
      <c r="F2407" s="684"/>
      <c r="G2407" s="686"/>
    </row>
    <row r="2408" spans="1:7" ht="19.899999999999999" customHeight="1">
      <c r="A2408" s="515">
        <f>IFERROR(VLOOKUP(C2408,T_Insumos,4,FALSE),0)</f>
        <v>0</v>
      </c>
      <c r="B2408" s="478">
        <f>IFERROR(VLOOKUP(C2408,T_Insumos,5,FALSE),0)</f>
        <v>0</v>
      </c>
      <c r="C2408" s="469"/>
      <c r="D2408" s="526">
        <f>IF(C2408=0,0,"$/tnkm")</f>
        <v>0</v>
      </c>
      <c r="E2408" s="470"/>
      <c r="F2408" s="472">
        <f>IFERROR(VLOOKUP(C2408,T_Insumos,3,FALSE),0)</f>
        <v>0</v>
      </c>
      <c r="G2408" s="472">
        <f>ROUND(E2408*F2408,2)</f>
        <v>0</v>
      </c>
    </row>
    <row r="2409" spans="1:7" ht="19.899999999999999" customHeight="1">
      <c r="A2409" s="515">
        <f>IFERROR(VLOOKUP(C2409,T_Insumos,4,FALSE),0)</f>
        <v>0</v>
      </c>
      <c r="B2409" s="478">
        <f>IFERROR(VLOOKUP(C2409,T_Insumos,5,FALSE),0)</f>
        <v>0</v>
      </c>
      <c r="C2409" s="469"/>
      <c r="D2409" s="526">
        <f>IF(C2409=0,0,"$/tnkm")</f>
        <v>0</v>
      </c>
      <c r="E2409" s="486"/>
      <c r="F2409" s="472">
        <f>IFERROR(VLOOKUP(C2409,T_Insumos,3,FALSE),0)</f>
        <v>0</v>
      </c>
      <c r="G2409" s="472">
        <f t="shared" ref="G2409" si="827">ROUND(E2409*F2409,2)</f>
        <v>0</v>
      </c>
    </row>
    <row r="2410" spans="1:7" ht="19.899999999999999" customHeight="1">
      <c r="A2410" s="513"/>
      <c r="B2410" s="163"/>
      <c r="C2410" s="163"/>
      <c r="D2410" s="459"/>
      <c r="E2410" s="460"/>
      <c r="F2410" s="650" t="s">
        <v>1015</v>
      </c>
      <c r="G2410" s="518">
        <f>SUBTOTAL(9,G2408:G2409)</f>
        <v>0</v>
      </c>
    </row>
    <row r="2411" spans="1:7" ht="19.899999999999999" customHeight="1">
      <c r="A2411" s="516"/>
      <c r="B2411" s="459"/>
      <c r="C2411" s="163"/>
      <c r="D2411" s="459"/>
      <c r="E2411" s="460"/>
      <c r="F2411" s="461"/>
      <c r="G2411" s="514"/>
    </row>
    <row r="2412" spans="1:7" ht="19.899999999999999" customHeight="1">
      <c r="A2412" s="574" t="str">
        <f>B2346</f>
        <v>5.2.10</v>
      </c>
      <c r="B2412" s="571" t="str">
        <f ca="1">C2346</f>
        <v>Reemplazo de compuertas</v>
      </c>
      <c r="C2412" s="459"/>
      <c r="D2412" s="459" t="s">
        <v>1831</v>
      </c>
      <c r="E2412" s="572"/>
      <c r="F2412" s="573" t="str">
        <f ca="1">"$/"&amp;G2346</f>
        <v>$/unidad</v>
      </c>
      <c r="G2412" s="523">
        <f>SUBTOTAL(9,G2369:G2411)</f>
        <v>0</v>
      </c>
    </row>
    <row r="2413" spans="1:7" ht="19.899999999999999" customHeight="1">
      <c r="A2413" s="519"/>
      <c r="B2413" s="520"/>
      <c r="C2413" s="521"/>
      <c r="D2413" s="521" t="s">
        <v>2041</v>
      </c>
      <c r="E2413" s="522"/>
      <c r="F2413" s="575" t="str">
        <f ca="1">"$/"&amp;G2346</f>
        <v>$/unidad</v>
      </c>
      <c r="G2413" s="523">
        <f>ROUND(G2412*Coeficiente_Paso,2)</f>
        <v>0</v>
      </c>
    </row>
    <row r="2414" spans="1:7" ht="19.899999999999999" customHeight="1">
      <c r="A2414" s="163"/>
      <c r="B2414" s="163"/>
      <c r="C2414" s="163"/>
      <c r="D2414" s="163"/>
      <c r="E2414" s="163"/>
      <c r="F2414" s="163"/>
      <c r="G2414" s="163"/>
    </row>
    <row r="2415" spans="1:7" ht="19.899999999999999" customHeight="1">
      <c r="A2415" s="687" t="s">
        <v>30</v>
      </c>
      <c r="B2415" s="688"/>
      <c r="C2415" s="688"/>
      <c r="D2415" s="688"/>
      <c r="E2415" s="688"/>
      <c r="F2415" s="688"/>
      <c r="G2415" s="689"/>
    </row>
    <row r="2416" spans="1:7" ht="19.899999999999999" customHeight="1">
      <c r="A2416" s="502" t="s">
        <v>710</v>
      </c>
      <c r="B2416" s="453" t="str">
        <f>Comitente</f>
        <v>DEPARTAMENTO DE HIDRAULICA</v>
      </c>
      <c r="C2416" s="454"/>
      <c r="D2416" s="455"/>
      <c r="E2416" s="455"/>
      <c r="F2416" s="456"/>
      <c r="G2416" s="503"/>
    </row>
    <row r="2417" spans="1:7" ht="19.899999999999999" customHeight="1">
      <c r="A2417" s="502" t="s">
        <v>711</v>
      </c>
      <c r="B2417" s="453">
        <f>Contratista</f>
        <v>0</v>
      </c>
      <c r="C2417" s="457"/>
      <c r="D2417" s="457"/>
      <c r="E2417" s="457"/>
      <c r="F2417" s="453"/>
      <c r="G2417" s="504"/>
    </row>
    <row r="2418" spans="1:7" ht="19.899999999999999" customHeight="1">
      <c r="A2418" s="502" t="s">
        <v>20</v>
      </c>
      <c r="B2418" s="453" t="str">
        <f>Obra</f>
        <v>MEJORA DE LA RED DE RIEGO DEL VALLE DE JÁCHAL</v>
      </c>
      <c r="C2418" s="457"/>
      <c r="D2418" s="457"/>
      <c r="E2418" s="457"/>
      <c r="F2418" s="453" t="s">
        <v>31</v>
      </c>
      <c r="G2418" s="504" t="str">
        <f>Fecha_Base</f>
        <v>XX/07/2020</v>
      </c>
    </row>
    <row r="2419" spans="1:7" ht="19.899999999999999" customHeight="1">
      <c r="A2419" s="505" t="s">
        <v>709</v>
      </c>
      <c r="B2419" s="458" t="str">
        <f>Ubicación</f>
        <v>JACHAL</v>
      </c>
      <c r="C2419" s="458"/>
      <c r="D2419" s="459"/>
      <c r="E2419" s="460"/>
      <c r="F2419" s="461"/>
      <c r="G2419" s="506"/>
    </row>
    <row r="2420" spans="1:7" ht="19.899999999999999" customHeight="1">
      <c r="A2420" s="505" t="s">
        <v>32</v>
      </c>
      <c r="B2420" s="462">
        <f>IFERROR(VALUE(LEFT(B2421,FIND(".",B2421)-1)),"")</f>
        <v>5</v>
      </c>
      <c r="C2420" s="163" t="str">
        <f ca="1">IFERROR(VLOOKUP(B2420,T_Computo_Presupuesto,2,FALSE),0)</f>
        <v>CANAL MATRIZ</v>
      </c>
      <c r="D2420" s="163"/>
      <c r="E2420" s="460"/>
      <c r="F2420" s="461"/>
      <c r="G2420" s="506"/>
    </row>
    <row r="2421" spans="1:7" ht="19.899999999999999" customHeight="1">
      <c r="A2421" s="505" t="s">
        <v>21</v>
      </c>
      <c r="B2421" s="463" t="str">
        <f>IFERROR(VLOOKUP(COUNTIF($A$1:A2421,"ANALISIS DE PRECIOS"),T_NumeroItem,2,FALSE),"")</f>
        <v>5.2.11</v>
      </c>
      <c r="C2421" s="690" t="str">
        <f ca="1">IFERROR(VLOOKUP(B2421,T_Computo_Presupuesto,2,FALSE),0)</f>
        <v>Readecuacion comparto de derivacion</v>
      </c>
      <c r="D2421" s="690"/>
      <c r="E2421" s="690"/>
      <c r="F2421" s="458" t="s">
        <v>22</v>
      </c>
      <c r="G2421" s="507" t="str">
        <f ca="1">IFERROR(VLOOKUP(B2421,T_Computo_Presupuesto,4,FALSE),0)</f>
        <v>gl.</v>
      </c>
    </row>
    <row r="2422" spans="1:7" ht="19.899999999999999" customHeight="1">
      <c r="A2422" s="505"/>
      <c r="B2422" s="458"/>
      <c r="C2422" s="163"/>
      <c r="D2422" s="459"/>
      <c r="E2422" s="460"/>
      <c r="F2422" s="163"/>
      <c r="G2422" s="508"/>
    </row>
    <row r="2423" spans="1:7" ht="19.899999999999999" customHeight="1">
      <c r="A2423" s="509"/>
      <c r="B2423" s="464"/>
      <c r="C2423" s="465" t="s">
        <v>998</v>
      </c>
      <c r="D2423" s="464"/>
      <c r="E2423" s="464"/>
      <c r="F2423" s="464"/>
      <c r="G2423" s="510"/>
    </row>
    <row r="2424" spans="1:7" ht="19.899999999999999" customHeight="1">
      <c r="A2424" s="505"/>
      <c r="B2424" s="466"/>
      <c r="C2424" s="163"/>
      <c r="D2424" s="459"/>
      <c r="E2424" s="460"/>
      <c r="F2424" s="458"/>
      <c r="G2424" s="507"/>
    </row>
    <row r="2425" spans="1:7" ht="19.899999999999999" customHeight="1">
      <c r="A2425" s="505"/>
      <c r="B2425" s="466"/>
      <c r="C2425" s="467" t="s">
        <v>999</v>
      </c>
      <c r="D2425" s="468" t="s">
        <v>23</v>
      </c>
      <c r="E2425" s="468" t="s">
        <v>1000</v>
      </c>
      <c r="F2425" s="468" t="s">
        <v>1001</v>
      </c>
      <c r="G2425" s="467" t="s">
        <v>1002</v>
      </c>
    </row>
    <row r="2426" spans="1:7" ht="19.899999999999999" customHeight="1">
      <c r="A2426" s="505"/>
      <c r="B2426" s="466"/>
      <c r="C2426" s="469"/>
      <c r="D2426" s="470"/>
      <c r="E2426" s="471">
        <f t="shared" ref="E2426:E2435" si="828">IFERROR(VLOOKUP(C2426,T_Equipos,4,FALSE),0)</f>
        <v>0</v>
      </c>
      <c r="F2426" s="472">
        <f t="shared" ref="F2426:F2435" si="829">IFERROR(VLOOKUP(C2426,T_Equipos,5,FALSE),0)</f>
        <v>0</v>
      </c>
      <c r="G2426" s="472">
        <f>ROUND(D2426*F2426,2)</f>
        <v>0</v>
      </c>
    </row>
    <row r="2427" spans="1:7" ht="19.899999999999999" customHeight="1">
      <c r="A2427" s="505"/>
      <c r="B2427" s="466"/>
      <c r="C2427" s="469"/>
      <c r="D2427" s="470"/>
      <c r="E2427" s="471">
        <f t="shared" si="828"/>
        <v>0</v>
      </c>
      <c r="F2427" s="472">
        <f t="shared" si="829"/>
        <v>0</v>
      </c>
      <c r="G2427" s="472">
        <f>ROUND(D2427*F2427,2)</f>
        <v>0</v>
      </c>
    </row>
    <row r="2428" spans="1:7" ht="19.899999999999999" customHeight="1">
      <c r="A2428" s="505"/>
      <c r="B2428" s="466"/>
      <c r="C2428" s="469"/>
      <c r="D2428" s="470"/>
      <c r="E2428" s="471">
        <f t="shared" si="828"/>
        <v>0</v>
      </c>
      <c r="F2428" s="472">
        <f t="shared" si="829"/>
        <v>0</v>
      </c>
      <c r="G2428" s="472">
        <f>ROUND(D2428*F2428,2)</f>
        <v>0</v>
      </c>
    </row>
    <row r="2429" spans="1:7" ht="19.899999999999999" customHeight="1">
      <c r="A2429" s="505"/>
      <c r="B2429" s="466"/>
      <c r="C2429" s="469"/>
      <c r="D2429" s="470"/>
      <c r="E2429" s="471">
        <f t="shared" si="828"/>
        <v>0</v>
      </c>
      <c r="F2429" s="472">
        <f t="shared" si="829"/>
        <v>0</v>
      </c>
      <c r="G2429" s="472">
        <f>ROUND(D2429*F2429,2)</f>
        <v>0</v>
      </c>
    </row>
    <row r="2430" spans="1:7" ht="19.899999999999999" customHeight="1">
      <c r="A2430" s="505"/>
      <c r="B2430" s="466"/>
      <c r="C2430" s="469"/>
      <c r="D2430" s="470"/>
      <c r="E2430" s="471">
        <f t="shared" si="828"/>
        <v>0</v>
      </c>
      <c r="F2430" s="472">
        <f t="shared" si="829"/>
        <v>0</v>
      </c>
      <c r="G2430" s="472">
        <f t="shared" ref="G2430:G2435" si="830">ROUND(D2430*F2430,2)</f>
        <v>0</v>
      </c>
    </row>
    <row r="2431" spans="1:7" ht="19.899999999999999" customHeight="1">
      <c r="A2431" s="505"/>
      <c r="B2431" s="466"/>
      <c r="C2431" s="469"/>
      <c r="D2431" s="470"/>
      <c r="E2431" s="471">
        <f t="shared" si="828"/>
        <v>0</v>
      </c>
      <c r="F2431" s="472">
        <f t="shared" si="829"/>
        <v>0</v>
      </c>
      <c r="G2431" s="472">
        <f t="shared" si="830"/>
        <v>0</v>
      </c>
    </row>
    <row r="2432" spans="1:7" ht="19.899999999999999" customHeight="1">
      <c r="A2432" s="505"/>
      <c r="B2432" s="466"/>
      <c r="C2432" s="469"/>
      <c r="D2432" s="470"/>
      <c r="E2432" s="471">
        <f t="shared" si="828"/>
        <v>0</v>
      </c>
      <c r="F2432" s="472">
        <f t="shared" si="829"/>
        <v>0</v>
      </c>
      <c r="G2432" s="472">
        <f t="shared" si="830"/>
        <v>0</v>
      </c>
    </row>
    <row r="2433" spans="1:7" ht="19.899999999999999" customHeight="1">
      <c r="A2433" s="505"/>
      <c r="B2433" s="466"/>
      <c r="C2433" s="469"/>
      <c r="D2433" s="470"/>
      <c r="E2433" s="471">
        <f t="shared" si="828"/>
        <v>0</v>
      </c>
      <c r="F2433" s="472">
        <f t="shared" si="829"/>
        <v>0</v>
      </c>
      <c r="G2433" s="472">
        <f t="shared" si="830"/>
        <v>0</v>
      </c>
    </row>
    <row r="2434" spans="1:7" ht="19.899999999999999" customHeight="1">
      <c r="A2434" s="505"/>
      <c r="B2434" s="466"/>
      <c r="C2434" s="469"/>
      <c r="D2434" s="470"/>
      <c r="E2434" s="471">
        <f t="shared" si="828"/>
        <v>0</v>
      </c>
      <c r="F2434" s="472">
        <f t="shared" si="829"/>
        <v>0</v>
      </c>
      <c r="G2434" s="472">
        <f t="shared" si="830"/>
        <v>0</v>
      </c>
    </row>
    <row r="2435" spans="1:7" ht="19.899999999999999" customHeight="1">
      <c r="A2435" s="505"/>
      <c r="B2435" s="466"/>
      <c r="C2435" s="469"/>
      <c r="D2435" s="470"/>
      <c r="E2435" s="471">
        <f t="shared" si="828"/>
        <v>0</v>
      </c>
      <c r="F2435" s="472">
        <f t="shared" si="829"/>
        <v>0</v>
      </c>
      <c r="G2435" s="472">
        <f t="shared" si="830"/>
        <v>0</v>
      </c>
    </row>
    <row r="2436" spans="1:7" ht="19.899999999999999" customHeight="1">
      <c r="A2436" s="505"/>
      <c r="B2436" s="466"/>
      <c r="C2436" s="163"/>
      <c r="D2436" s="163"/>
      <c r="E2436" s="473"/>
      <c r="F2436" s="458"/>
      <c r="G2436" s="507"/>
    </row>
    <row r="2437" spans="1:7" ht="19.899999999999999" customHeight="1">
      <c r="A2437" s="505"/>
      <c r="B2437" s="163"/>
      <c r="C2437" s="455" t="s">
        <v>1003</v>
      </c>
      <c r="D2437" s="458" t="s">
        <v>1000</v>
      </c>
      <c r="E2437" s="524">
        <f>SUMPRODUCT(D2426:D2435,E2426:E2435)</f>
        <v>0</v>
      </c>
      <c r="F2437" s="458" t="s">
        <v>1004</v>
      </c>
      <c r="G2437" s="525">
        <f>SUM(G2426:G2435)</f>
        <v>0</v>
      </c>
    </row>
    <row r="2438" spans="1:7" ht="19.899999999999999" customHeight="1">
      <c r="A2438" s="505"/>
      <c r="B2438" s="466"/>
      <c r="C2438" s="474"/>
      <c r="D2438" s="473"/>
      <c r="E2438" s="460"/>
      <c r="F2438" s="458"/>
      <c r="G2438" s="511"/>
    </row>
    <row r="2439" spans="1:7" ht="19.899999999999999" customHeight="1">
      <c r="A2439" s="512"/>
      <c r="B2439" s="466"/>
      <c r="C2439" s="458" t="s">
        <v>1005</v>
      </c>
      <c r="D2439" s="475"/>
      <c r="E2439" s="476" t="str">
        <f ca="1">G2421&amp;"/día"</f>
        <v>gl./día</v>
      </c>
      <c r="F2439" s="452"/>
      <c r="G2439" s="507"/>
    </row>
    <row r="2440" spans="1:7" ht="19.899999999999999" customHeight="1">
      <c r="A2440" s="505"/>
      <c r="B2440" s="466"/>
      <c r="C2440" s="163"/>
      <c r="D2440" s="459"/>
      <c r="E2440" s="460"/>
      <c r="F2440" s="458"/>
      <c r="G2440" s="507"/>
    </row>
    <row r="2441" spans="1:7" ht="19.899999999999999" customHeight="1">
      <c r="A2441" s="677" t="s">
        <v>575</v>
      </c>
      <c r="B2441" s="678"/>
      <c r="C2441" s="679" t="s">
        <v>0</v>
      </c>
      <c r="D2441" s="691" t="s">
        <v>1864</v>
      </c>
      <c r="E2441" s="691" t="s">
        <v>1863</v>
      </c>
      <c r="F2441" s="683" t="s">
        <v>1006</v>
      </c>
      <c r="G2441" s="685" t="s">
        <v>25</v>
      </c>
    </row>
    <row r="2442" spans="1:7" ht="19.899999999999999" customHeight="1">
      <c r="A2442" s="477" t="s">
        <v>576</v>
      </c>
      <c r="B2442" s="477" t="s">
        <v>577</v>
      </c>
      <c r="C2442" s="680"/>
      <c r="D2442" s="692"/>
      <c r="E2442" s="682"/>
      <c r="F2442" s="684"/>
      <c r="G2442" s="686"/>
    </row>
    <row r="2443" spans="1:7" ht="19.899999999999999" customHeight="1">
      <c r="A2443" s="513"/>
      <c r="B2443" s="163"/>
      <c r="C2443" s="455" t="s">
        <v>1007</v>
      </c>
      <c r="D2443" s="460"/>
      <c r="E2443" s="460"/>
      <c r="F2443" s="163"/>
      <c r="G2443" s="514"/>
    </row>
    <row r="2444" spans="1:7" ht="19.899999999999999" customHeight="1">
      <c r="A2444" s="515">
        <f t="shared" ref="A2444:A2452" si="831">IFERROR(VLOOKUP(C2444,T_Insumos,4,FALSE),0)</f>
        <v>0</v>
      </c>
      <c r="B2444" s="478">
        <f t="shared" ref="B2444:B2452" si="832">IFERROR(VLOOKUP(C2444,T_Insumos,5,FALSE),0)</f>
        <v>0</v>
      </c>
      <c r="C2444" s="469"/>
      <c r="D2444" s="479">
        <f t="shared" ref="D2444:D2452" si="833">IFERROR(VLOOKUP(C2444,T_Insumos,3,FALSE),0)</f>
        <v>0</v>
      </c>
      <c r="E2444" s="472">
        <f>D2444*$G$23</f>
        <v>0</v>
      </c>
      <c r="F2444" s="475">
        <f>IF(C2444="",0,IFERROR(VLOOKUP(COUNTIF($A$1:A2444,"ANALISIS DE PRECIOS"),T_Rendimiento_Equipo,5,FALSE),0))</f>
        <v>0</v>
      </c>
      <c r="G2444" s="472">
        <f>IFERROR(ROUND(E2444/F2444,2),0)</f>
        <v>0</v>
      </c>
    </row>
    <row r="2445" spans="1:7" ht="19.899999999999999" customHeight="1">
      <c r="A2445" s="515">
        <f t="shared" si="831"/>
        <v>0</v>
      </c>
      <c r="B2445" s="478">
        <f t="shared" si="832"/>
        <v>0</v>
      </c>
      <c r="C2445" s="469"/>
      <c r="D2445" s="479">
        <f t="shared" si="833"/>
        <v>0</v>
      </c>
      <c r="E2445" s="472">
        <f t="shared" ref="E2445:E2452" si="834">D2445*$G$23</f>
        <v>0</v>
      </c>
      <c r="F2445" s="475">
        <f>IF(C2445="",0,IFERROR(VLOOKUP(COUNTIF($A$1:A2445,"ANALISIS DE PRECIOS"),T_Rendimiento_Equipo,5,FALSE),0))</f>
        <v>0</v>
      </c>
      <c r="G2445" s="472">
        <f t="shared" ref="G2445:G2452" si="835">IFERROR(ROUND(E2445/F2445,2),0)</f>
        <v>0</v>
      </c>
    </row>
    <row r="2446" spans="1:7" ht="19.899999999999999" customHeight="1">
      <c r="A2446" s="515">
        <f t="shared" si="831"/>
        <v>0</v>
      </c>
      <c r="B2446" s="478">
        <f t="shared" si="832"/>
        <v>0</v>
      </c>
      <c r="C2446" s="480"/>
      <c r="D2446" s="479">
        <f t="shared" si="833"/>
        <v>0</v>
      </c>
      <c r="E2446" s="472">
        <f t="shared" si="834"/>
        <v>0</v>
      </c>
      <c r="F2446" s="475">
        <f>IF(C2446="",0,IFERROR(VLOOKUP(COUNTIF($A$1:A2446,"ANALISIS DE PRECIOS"),T_Rendimiento_Equipo,5,FALSE),0))</f>
        <v>0</v>
      </c>
      <c r="G2446" s="472">
        <f t="shared" si="835"/>
        <v>0</v>
      </c>
    </row>
    <row r="2447" spans="1:7" ht="19.899999999999999" customHeight="1">
      <c r="A2447" s="515">
        <f t="shared" si="831"/>
        <v>0</v>
      </c>
      <c r="B2447" s="478">
        <f t="shared" si="832"/>
        <v>0</v>
      </c>
      <c r="C2447" s="480"/>
      <c r="D2447" s="479">
        <f t="shared" si="833"/>
        <v>0</v>
      </c>
      <c r="E2447" s="472">
        <f t="shared" si="834"/>
        <v>0</v>
      </c>
      <c r="F2447" s="475">
        <f>IF(C2447="",0,IFERROR(VLOOKUP(COUNTIF($A$1:A2447,"ANALISIS DE PRECIOS"),T_Rendimiento_Equipo,5,FALSE),0))</f>
        <v>0</v>
      </c>
      <c r="G2447" s="472">
        <f t="shared" si="835"/>
        <v>0</v>
      </c>
    </row>
    <row r="2448" spans="1:7" ht="19.899999999999999" customHeight="1">
      <c r="A2448" s="515">
        <f t="shared" si="831"/>
        <v>0</v>
      </c>
      <c r="B2448" s="478">
        <f t="shared" si="832"/>
        <v>0</v>
      </c>
      <c r="C2448" s="480"/>
      <c r="D2448" s="479">
        <f t="shared" si="833"/>
        <v>0</v>
      </c>
      <c r="E2448" s="472">
        <f t="shared" si="834"/>
        <v>0</v>
      </c>
      <c r="F2448" s="475">
        <f>IF(C2448="",0,IFERROR(VLOOKUP(COUNTIF($A$1:A2448,"ANALISIS DE PRECIOS"),T_Rendimiento_Equipo,5,FALSE),0))</f>
        <v>0</v>
      </c>
      <c r="G2448" s="472">
        <f t="shared" si="835"/>
        <v>0</v>
      </c>
    </row>
    <row r="2449" spans="1:7" ht="19.899999999999999" customHeight="1">
      <c r="A2449" s="515">
        <f t="shared" si="831"/>
        <v>0</v>
      </c>
      <c r="B2449" s="478">
        <f t="shared" si="832"/>
        <v>0</v>
      </c>
      <c r="C2449" s="480"/>
      <c r="D2449" s="479">
        <f t="shared" si="833"/>
        <v>0</v>
      </c>
      <c r="E2449" s="472">
        <f t="shared" si="834"/>
        <v>0</v>
      </c>
      <c r="F2449" s="475">
        <f>IF(C2449="",0,IFERROR(VLOOKUP(COUNTIF($A$1:A2449,"ANALISIS DE PRECIOS"),T_Rendimiento_Equipo,5,FALSE),0))</f>
        <v>0</v>
      </c>
      <c r="G2449" s="472">
        <f t="shared" si="835"/>
        <v>0</v>
      </c>
    </row>
    <row r="2450" spans="1:7" ht="19.899999999999999" customHeight="1">
      <c r="A2450" s="515">
        <f t="shared" si="831"/>
        <v>0</v>
      </c>
      <c r="B2450" s="478">
        <f t="shared" si="832"/>
        <v>0</v>
      </c>
      <c r="C2450" s="480"/>
      <c r="D2450" s="479">
        <f t="shared" si="833"/>
        <v>0</v>
      </c>
      <c r="E2450" s="472">
        <f t="shared" si="834"/>
        <v>0</v>
      </c>
      <c r="F2450" s="475">
        <f>IF(C2450="",0,IFERROR(VLOOKUP(COUNTIF($A$1:A2450,"ANALISIS DE PRECIOS"),T_Rendimiento_Equipo,5,FALSE),0))</f>
        <v>0</v>
      </c>
      <c r="G2450" s="472">
        <f t="shared" si="835"/>
        <v>0</v>
      </c>
    </row>
    <row r="2451" spans="1:7" ht="19.899999999999999" customHeight="1">
      <c r="A2451" s="515">
        <f t="shared" si="831"/>
        <v>0</v>
      </c>
      <c r="B2451" s="478">
        <f t="shared" si="832"/>
        <v>0</v>
      </c>
      <c r="C2451" s="480"/>
      <c r="D2451" s="479">
        <f t="shared" si="833"/>
        <v>0</v>
      </c>
      <c r="E2451" s="472">
        <f t="shared" si="834"/>
        <v>0</v>
      </c>
      <c r="F2451" s="475">
        <f>IF(C2451="",0,IFERROR(VLOOKUP(COUNTIF($A$1:A2451,"ANALISIS DE PRECIOS"),T_Rendimiento_Equipo,5,FALSE),0))</f>
        <v>0</v>
      </c>
      <c r="G2451" s="472">
        <f t="shared" si="835"/>
        <v>0</v>
      </c>
    </row>
    <row r="2452" spans="1:7" ht="19.899999999999999" customHeight="1">
      <c r="A2452" s="515">
        <f t="shared" si="831"/>
        <v>0</v>
      </c>
      <c r="B2452" s="478">
        <f t="shared" si="832"/>
        <v>0</v>
      </c>
      <c r="C2452" s="469"/>
      <c r="D2452" s="479">
        <f t="shared" si="833"/>
        <v>0</v>
      </c>
      <c r="E2452" s="472">
        <f t="shared" si="834"/>
        <v>0</v>
      </c>
      <c r="F2452" s="475">
        <f>IF(C2452="",0,IFERROR(VLOOKUP(COUNTIF($A$1:A2452,"ANALISIS DE PRECIOS"),T_Rendimiento_Equipo,5,FALSE),0))</f>
        <v>0</v>
      </c>
      <c r="G2452" s="472">
        <f t="shared" si="835"/>
        <v>0</v>
      </c>
    </row>
    <row r="2453" spans="1:7" ht="19.899999999999999" customHeight="1">
      <c r="A2453" s="516"/>
      <c r="B2453" s="459"/>
      <c r="C2453" s="163"/>
      <c r="D2453" s="459"/>
      <c r="E2453" s="460"/>
      <c r="F2453" s="650" t="s">
        <v>26</v>
      </c>
      <c r="G2453" s="517">
        <f>SUBTOTAL(9,G2444:G2452)</f>
        <v>0</v>
      </c>
    </row>
    <row r="2454" spans="1:7" ht="19.899999999999999" customHeight="1">
      <c r="A2454" s="513"/>
      <c r="B2454" s="163"/>
      <c r="C2454" s="455" t="s">
        <v>712</v>
      </c>
      <c r="D2454" s="459"/>
      <c r="E2454" s="460"/>
      <c r="F2454" s="461"/>
      <c r="G2454" s="514"/>
    </row>
    <row r="2455" spans="1:7" ht="19.899999999999999" customHeight="1">
      <c r="A2455" s="677" t="s">
        <v>575</v>
      </c>
      <c r="B2455" s="678"/>
      <c r="C2455" s="679" t="s">
        <v>0</v>
      </c>
      <c r="D2455" s="681" t="s">
        <v>23</v>
      </c>
      <c r="E2455" s="681" t="s">
        <v>1830</v>
      </c>
      <c r="F2455" s="683" t="s">
        <v>1006</v>
      </c>
      <c r="G2455" s="685" t="s">
        <v>25</v>
      </c>
    </row>
    <row r="2456" spans="1:7" ht="19.899999999999999" customHeight="1">
      <c r="A2456" s="477" t="s">
        <v>576</v>
      </c>
      <c r="B2456" s="477" t="s">
        <v>577</v>
      </c>
      <c r="C2456" s="680"/>
      <c r="D2456" s="682"/>
      <c r="E2456" s="682"/>
      <c r="F2456" s="684"/>
      <c r="G2456" s="686"/>
    </row>
    <row r="2457" spans="1:7" ht="19.899999999999999" customHeight="1">
      <c r="A2457" s="515">
        <f t="shared" ref="A2457:A2463" si="836">IFERROR(VLOOKUP(C2457,T_Insumos,4,FALSE),0)</f>
        <v>0</v>
      </c>
      <c r="B2457" s="478">
        <f t="shared" ref="B2457:B2463" si="837">IFERROR(VLOOKUP(C2457,T_Insumos,5,FALSE),0)</f>
        <v>0</v>
      </c>
      <c r="C2457" s="482"/>
      <c r="D2457" s="475"/>
      <c r="E2457" s="472">
        <f t="shared" ref="E2457:E2463" si="838">IFERROR(VLOOKUP(C2457,T_Insumos,3,FALSE),0)</f>
        <v>0</v>
      </c>
      <c r="F2457" s="475">
        <f>IF(C2457="",0,IFERROR(VLOOKUP(COUNTIF($A$1:A2457,"ANALISIS DE PRECIOS"),T_Rendimiento_Equipo,5,FALSE),0))</f>
        <v>0</v>
      </c>
      <c r="G2457" s="472">
        <f>IFERROR(ROUND(D2457*E2457/F2457,2),0)</f>
        <v>0</v>
      </c>
    </row>
    <row r="2458" spans="1:7" ht="19.899999999999999" customHeight="1">
      <c r="A2458" s="515">
        <f t="shared" si="836"/>
        <v>0</v>
      </c>
      <c r="B2458" s="478">
        <f t="shared" si="837"/>
        <v>0</v>
      </c>
      <c r="C2458" s="469"/>
      <c r="D2458" s="475"/>
      <c r="E2458" s="472">
        <f t="shared" si="838"/>
        <v>0</v>
      </c>
      <c r="F2458" s="475">
        <f>IF(C2458="",0,IFERROR(VLOOKUP(COUNTIF($A$1:A2458,"ANALISIS DE PRECIOS"),T_Rendimiento_Equipo,5,FALSE),0))</f>
        <v>0</v>
      </c>
      <c r="G2458" s="472">
        <f t="shared" ref="G2458:G2463" si="839">IFERROR(ROUND(D2458*E2458/F2458,2),0)</f>
        <v>0</v>
      </c>
    </row>
    <row r="2459" spans="1:7" ht="19.899999999999999" customHeight="1">
      <c r="A2459" s="515">
        <f t="shared" si="836"/>
        <v>0</v>
      </c>
      <c r="B2459" s="478">
        <f t="shared" si="837"/>
        <v>0</v>
      </c>
      <c r="C2459" s="469"/>
      <c r="D2459" s="475"/>
      <c r="E2459" s="472">
        <f t="shared" si="838"/>
        <v>0</v>
      </c>
      <c r="F2459" s="475">
        <f>IF(C2459="",0,IFERROR(VLOOKUP(COUNTIF($A$1:A2459,"ANALISIS DE PRECIOS"),T_Rendimiento_Equipo,5,FALSE),0))</f>
        <v>0</v>
      </c>
      <c r="G2459" s="472">
        <f t="shared" si="839"/>
        <v>0</v>
      </c>
    </row>
    <row r="2460" spans="1:7" ht="19.899999999999999" customHeight="1">
      <c r="A2460" s="515">
        <f t="shared" si="836"/>
        <v>0</v>
      </c>
      <c r="B2460" s="478">
        <f t="shared" si="837"/>
        <v>0</v>
      </c>
      <c r="C2460" s="469"/>
      <c r="D2460" s="475"/>
      <c r="E2460" s="472">
        <f t="shared" si="838"/>
        <v>0</v>
      </c>
      <c r="F2460" s="475">
        <f>IF(C2460="",0,IFERROR(VLOOKUP(COUNTIF($A$1:A2460,"ANALISIS DE PRECIOS"),T_Rendimiento_Equipo,5,FALSE),0))</f>
        <v>0</v>
      </c>
      <c r="G2460" s="472">
        <f t="shared" si="839"/>
        <v>0</v>
      </c>
    </row>
    <row r="2461" spans="1:7" ht="19.899999999999999" customHeight="1">
      <c r="A2461" s="515">
        <f t="shared" si="836"/>
        <v>0</v>
      </c>
      <c r="B2461" s="478">
        <f t="shared" si="837"/>
        <v>0</v>
      </c>
      <c r="C2461" s="469"/>
      <c r="D2461" s="475"/>
      <c r="E2461" s="472">
        <f t="shared" si="838"/>
        <v>0</v>
      </c>
      <c r="F2461" s="475">
        <f>IF(C2461="",0,IFERROR(VLOOKUP(COUNTIF($A$1:A2461,"ANALISIS DE PRECIOS"),T_Rendimiento_Equipo,5,FALSE),0))</f>
        <v>0</v>
      </c>
      <c r="G2461" s="472">
        <f t="shared" si="839"/>
        <v>0</v>
      </c>
    </row>
    <row r="2462" spans="1:7" ht="19.899999999999999" customHeight="1">
      <c r="A2462" s="515">
        <f t="shared" si="836"/>
        <v>0</v>
      </c>
      <c r="B2462" s="478">
        <f t="shared" si="837"/>
        <v>0</v>
      </c>
      <c r="C2462" s="469"/>
      <c r="D2462" s="483"/>
      <c r="E2462" s="472">
        <f t="shared" si="838"/>
        <v>0</v>
      </c>
      <c r="F2462" s="475">
        <f>IF(C2462="",0,IFERROR(VLOOKUP(COUNTIF($A$1:A2462,"ANALISIS DE PRECIOS"),T_Rendimiento_Equipo,5,FALSE),0))</f>
        <v>0</v>
      </c>
      <c r="G2462" s="472">
        <f t="shared" si="839"/>
        <v>0</v>
      </c>
    </row>
    <row r="2463" spans="1:7" ht="19.899999999999999" customHeight="1">
      <c r="A2463" s="515">
        <f t="shared" si="836"/>
        <v>0</v>
      </c>
      <c r="B2463" s="478">
        <f t="shared" si="837"/>
        <v>0</v>
      </c>
      <c r="C2463" s="478"/>
      <c r="D2463" s="484"/>
      <c r="E2463" s="472">
        <f t="shared" si="838"/>
        <v>0</v>
      </c>
      <c r="F2463" s="475">
        <f>IF(C2463="",0,IFERROR(VLOOKUP(COUNTIF($A$1:A2463,"ANALISIS DE PRECIOS"),T_Rendimiento_Equipo,5,FALSE),0))</f>
        <v>0</v>
      </c>
      <c r="G2463" s="472">
        <f t="shared" si="839"/>
        <v>0</v>
      </c>
    </row>
    <row r="2464" spans="1:7" ht="19.899999999999999" customHeight="1">
      <c r="A2464" s="516"/>
      <c r="B2464" s="459"/>
      <c r="C2464" s="163"/>
      <c r="D2464" s="459"/>
      <c r="E2464" s="460"/>
      <c r="F2464" s="650" t="s">
        <v>27</v>
      </c>
      <c r="G2464" s="518">
        <f>SUBTOTAL(9,G2457:G2463)</f>
        <v>0</v>
      </c>
    </row>
    <row r="2465" spans="1:7" ht="19.899999999999999" customHeight="1">
      <c r="A2465" s="513"/>
      <c r="B2465" s="163"/>
      <c r="C2465" s="455" t="s">
        <v>1013</v>
      </c>
      <c r="D2465" s="459"/>
      <c r="E2465" s="460"/>
      <c r="F2465" s="461"/>
      <c r="G2465" s="514"/>
    </row>
    <row r="2466" spans="1:7" ht="19.899999999999999" customHeight="1">
      <c r="A2466" s="677" t="s">
        <v>575</v>
      </c>
      <c r="B2466" s="678"/>
      <c r="C2466" s="679" t="s">
        <v>0</v>
      </c>
      <c r="D2466" s="679" t="s">
        <v>1865</v>
      </c>
      <c r="E2466" s="681" t="s">
        <v>23</v>
      </c>
      <c r="F2466" s="683" t="s">
        <v>24</v>
      </c>
      <c r="G2466" s="685" t="s">
        <v>25</v>
      </c>
    </row>
    <row r="2467" spans="1:7" ht="19.899999999999999" customHeight="1">
      <c r="A2467" s="477" t="s">
        <v>576</v>
      </c>
      <c r="B2467" s="477" t="s">
        <v>577</v>
      </c>
      <c r="C2467" s="680"/>
      <c r="D2467" s="680"/>
      <c r="E2467" s="682"/>
      <c r="F2467" s="684"/>
      <c r="G2467" s="686"/>
    </row>
    <row r="2468" spans="1:7" ht="19.899999999999999" customHeight="1">
      <c r="A2468" s="515">
        <f t="shared" ref="A2468:A2478" si="840">IFERROR(VLOOKUP(C2468,T_Insumos,4,FALSE),0)</f>
        <v>0</v>
      </c>
      <c r="B2468" s="478">
        <f t="shared" ref="B2468:B2478" si="841">IFERROR(VLOOKUP(C2468,T_Insumos,5,FALSE),0)</f>
        <v>0</v>
      </c>
      <c r="C2468" s="478"/>
      <c r="D2468" s="526">
        <f t="shared" ref="D2468:D2478" si="842">IFERROR(VLOOKUP(C2468,T_Insumos,2,FALSE),0)</f>
        <v>0</v>
      </c>
      <c r="E2468" s="470"/>
      <c r="F2468" s="472">
        <f t="shared" ref="F2468:F2478" si="843">IFERROR(VLOOKUP(C2468,T_Insumos,3,FALSE),0)</f>
        <v>0</v>
      </c>
      <c r="G2468" s="472">
        <f>ROUND(E2468*F2468,2)</f>
        <v>0</v>
      </c>
    </row>
    <row r="2469" spans="1:7" ht="19.899999999999999" customHeight="1">
      <c r="A2469" s="515">
        <f t="shared" si="840"/>
        <v>0</v>
      </c>
      <c r="B2469" s="478">
        <f t="shared" si="841"/>
        <v>0</v>
      </c>
      <c r="C2469" s="478"/>
      <c r="D2469" s="526">
        <f t="shared" si="842"/>
        <v>0</v>
      </c>
      <c r="E2469" s="470"/>
      <c r="F2469" s="472">
        <f t="shared" si="843"/>
        <v>0</v>
      </c>
      <c r="G2469" s="472">
        <f t="shared" ref="G2469:G2478" si="844">ROUND(E2469*F2469,2)</f>
        <v>0</v>
      </c>
    </row>
    <row r="2470" spans="1:7" ht="19.899999999999999" customHeight="1">
      <c r="A2470" s="515">
        <f t="shared" si="840"/>
        <v>0</v>
      </c>
      <c r="B2470" s="478">
        <f t="shared" si="841"/>
        <v>0</v>
      </c>
      <c r="C2470" s="478"/>
      <c r="D2470" s="526">
        <f t="shared" si="842"/>
        <v>0</v>
      </c>
      <c r="E2470" s="470"/>
      <c r="F2470" s="472">
        <f t="shared" si="843"/>
        <v>0</v>
      </c>
      <c r="G2470" s="472">
        <f t="shared" si="844"/>
        <v>0</v>
      </c>
    </row>
    <row r="2471" spans="1:7" ht="19.899999999999999" customHeight="1">
      <c r="A2471" s="515">
        <f t="shared" si="840"/>
        <v>0</v>
      </c>
      <c r="B2471" s="478">
        <f t="shared" si="841"/>
        <v>0</v>
      </c>
      <c r="C2471" s="478"/>
      <c r="D2471" s="526">
        <f t="shared" si="842"/>
        <v>0</v>
      </c>
      <c r="E2471" s="470"/>
      <c r="F2471" s="472">
        <f t="shared" si="843"/>
        <v>0</v>
      </c>
      <c r="G2471" s="472">
        <f t="shared" si="844"/>
        <v>0</v>
      </c>
    </row>
    <row r="2472" spans="1:7" ht="19.899999999999999" customHeight="1">
      <c r="A2472" s="515">
        <f t="shared" si="840"/>
        <v>0</v>
      </c>
      <c r="B2472" s="478">
        <f t="shared" si="841"/>
        <v>0</v>
      </c>
      <c r="C2472" s="478"/>
      <c r="D2472" s="526">
        <f t="shared" si="842"/>
        <v>0</v>
      </c>
      <c r="E2472" s="470"/>
      <c r="F2472" s="472">
        <f t="shared" si="843"/>
        <v>0</v>
      </c>
      <c r="G2472" s="472">
        <f t="shared" si="844"/>
        <v>0</v>
      </c>
    </row>
    <row r="2473" spans="1:7" ht="19.899999999999999" customHeight="1">
      <c r="A2473" s="515">
        <f t="shared" si="840"/>
        <v>0</v>
      </c>
      <c r="B2473" s="478">
        <f t="shared" si="841"/>
        <v>0</v>
      </c>
      <c r="C2473" s="478"/>
      <c r="D2473" s="526">
        <f t="shared" si="842"/>
        <v>0</v>
      </c>
      <c r="E2473" s="470"/>
      <c r="F2473" s="472">
        <f t="shared" si="843"/>
        <v>0</v>
      </c>
      <c r="G2473" s="472">
        <f t="shared" si="844"/>
        <v>0</v>
      </c>
    </row>
    <row r="2474" spans="1:7" ht="19.899999999999999" customHeight="1">
      <c r="A2474" s="515">
        <f t="shared" si="840"/>
        <v>0</v>
      </c>
      <c r="B2474" s="478">
        <f t="shared" si="841"/>
        <v>0</v>
      </c>
      <c r="C2474" s="478"/>
      <c r="D2474" s="526">
        <f t="shared" si="842"/>
        <v>0</v>
      </c>
      <c r="E2474" s="470"/>
      <c r="F2474" s="472">
        <f t="shared" si="843"/>
        <v>0</v>
      </c>
      <c r="G2474" s="472">
        <f t="shared" si="844"/>
        <v>0</v>
      </c>
    </row>
    <row r="2475" spans="1:7" ht="19.899999999999999" customHeight="1">
      <c r="A2475" s="515">
        <f t="shared" si="840"/>
        <v>0</v>
      </c>
      <c r="B2475" s="478">
        <f t="shared" si="841"/>
        <v>0</v>
      </c>
      <c r="C2475" s="478"/>
      <c r="D2475" s="526">
        <f t="shared" si="842"/>
        <v>0</v>
      </c>
      <c r="E2475" s="470"/>
      <c r="F2475" s="472">
        <f t="shared" si="843"/>
        <v>0</v>
      </c>
      <c r="G2475" s="472">
        <f t="shared" si="844"/>
        <v>0</v>
      </c>
    </row>
    <row r="2476" spans="1:7" ht="19.899999999999999" customHeight="1">
      <c r="A2476" s="515">
        <f t="shared" si="840"/>
        <v>0</v>
      </c>
      <c r="B2476" s="478">
        <f t="shared" si="841"/>
        <v>0</v>
      </c>
      <c r="C2476" s="478"/>
      <c r="D2476" s="526">
        <f t="shared" si="842"/>
        <v>0</v>
      </c>
      <c r="E2476" s="470"/>
      <c r="F2476" s="472">
        <f t="shared" si="843"/>
        <v>0</v>
      </c>
      <c r="G2476" s="472">
        <f t="shared" si="844"/>
        <v>0</v>
      </c>
    </row>
    <row r="2477" spans="1:7" ht="19.899999999999999" customHeight="1">
      <c r="A2477" s="515">
        <f t="shared" si="840"/>
        <v>0</v>
      </c>
      <c r="B2477" s="478">
        <f t="shared" si="841"/>
        <v>0</v>
      </c>
      <c r="C2477" s="478"/>
      <c r="D2477" s="526">
        <f t="shared" si="842"/>
        <v>0</v>
      </c>
      <c r="E2477" s="470"/>
      <c r="F2477" s="472">
        <f t="shared" si="843"/>
        <v>0</v>
      </c>
      <c r="G2477" s="472">
        <f t="shared" si="844"/>
        <v>0</v>
      </c>
    </row>
    <row r="2478" spans="1:7" ht="19.899999999999999" customHeight="1">
      <c r="A2478" s="515">
        <f t="shared" si="840"/>
        <v>0</v>
      </c>
      <c r="B2478" s="478">
        <f t="shared" si="841"/>
        <v>0</v>
      </c>
      <c r="C2478" s="478"/>
      <c r="D2478" s="526">
        <f t="shared" si="842"/>
        <v>0</v>
      </c>
      <c r="E2478" s="470"/>
      <c r="F2478" s="472">
        <f t="shared" si="843"/>
        <v>0</v>
      </c>
      <c r="G2478" s="472">
        <f t="shared" si="844"/>
        <v>0</v>
      </c>
    </row>
    <row r="2479" spans="1:7" ht="19.899999999999999" customHeight="1">
      <c r="A2479" s="513"/>
      <c r="B2479" s="163"/>
      <c r="C2479" s="163"/>
      <c r="D2479" s="459"/>
      <c r="E2479" s="460"/>
      <c r="F2479" s="650" t="s">
        <v>28</v>
      </c>
      <c r="G2479" s="518">
        <f>SUBTOTAL(9,G2468:G2478)</f>
        <v>0</v>
      </c>
    </row>
    <row r="2480" spans="1:7" ht="19.899999999999999" customHeight="1">
      <c r="A2480" s="513"/>
      <c r="B2480" s="163"/>
      <c r="C2480" s="455" t="s">
        <v>1014</v>
      </c>
      <c r="D2480" s="459"/>
      <c r="E2480" s="460"/>
      <c r="F2480" s="461"/>
      <c r="G2480" s="514"/>
    </row>
    <row r="2481" spans="1:7" ht="19.899999999999999" customHeight="1">
      <c r="A2481" s="677" t="s">
        <v>575</v>
      </c>
      <c r="B2481" s="678"/>
      <c r="C2481" s="679" t="s">
        <v>0</v>
      </c>
      <c r="D2481" s="679" t="s">
        <v>1865</v>
      </c>
      <c r="E2481" s="681" t="s">
        <v>23</v>
      </c>
      <c r="F2481" s="683" t="s">
        <v>24</v>
      </c>
      <c r="G2481" s="685" t="s">
        <v>25</v>
      </c>
    </row>
    <row r="2482" spans="1:7" ht="19.899999999999999" customHeight="1">
      <c r="A2482" s="477" t="s">
        <v>576</v>
      </c>
      <c r="B2482" s="477" t="s">
        <v>577</v>
      </c>
      <c r="C2482" s="680"/>
      <c r="D2482" s="680"/>
      <c r="E2482" s="682"/>
      <c r="F2482" s="684"/>
      <c r="G2482" s="686"/>
    </row>
    <row r="2483" spans="1:7" ht="19.899999999999999" customHeight="1">
      <c r="A2483" s="515">
        <f>IFERROR(VLOOKUP(C2483,T_Insumos,4,FALSE),0)</f>
        <v>0</v>
      </c>
      <c r="B2483" s="478">
        <f>IFERROR(VLOOKUP(C2483,T_Insumos,5,FALSE),0)</f>
        <v>0</v>
      </c>
      <c r="C2483" s="469"/>
      <c r="D2483" s="526">
        <f>IF(C2483=0,0,"$/tnkm")</f>
        <v>0</v>
      </c>
      <c r="E2483" s="470"/>
      <c r="F2483" s="472">
        <f>IFERROR(VLOOKUP(C2483,T_Insumos,3,FALSE),0)</f>
        <v>0</v>
      </c>
      <c r="G2483" s="472">
        <f>ROUND(E2483*F2483,2)</f>
        <v>0</v>
      </c>
    </row>
    <row r="2484" spans="1:7" ht="19.899999999999999" customHeight="1">
      <c r="A2484" s="515">
        <f>IFERROR(VLOOKUP(C2484,T_Insumos,4,FALSE),0)</f>
        <v>0</v>
      </c>
      <c r="B2484" s="478">
        <f>IFERROR(VLOOKUP(C2484,T_Insumos,5,FALSE),0)</f>
        <v>0</v>
      </c>
      <c r="C2484" s="469"/>
      <c r="D2484" s="526">
        <f>IF(C2484=0,0,"$/tnkm")</f>
        <v>0</v>
      </c>
      <c r="E2484" s="486"/>
      <c r="F2484" s="472">
        <f>IFERROR(VLOOKUP(C2484,T_Insumos,3,FALSE),0)</f>
        <v>0</v>
      </c>
      <c r="G2484" s="472">
        <f t="shared" ref="G2484" si="845">ROUND(E2484*F2484,2)</f>
        <v>0</v>
      </c>
    </row>
    <row r="2485" spans="1:7" ht="19.899999999999999" customHeight="1">
      <c r="A2485" s="513"/>
      <c r="B2485" s="163"/>
      <c r="C2485" s="163"/>
      <c r="D2485" s="459"/>
      <c r="E2485" s="460"/>
      <c r="F2485" s="650" t="s">
        <v>1015</v>
      </c>
      <c r="G2485" s="518">
        <f>SUBTOTAL(9,G2483:G2484)</f>
        <v>0</v>
      </c>
    </row>
    <row r="2486" spans="1:7" ht="19.899999999999999" customHeight="1">
      <c r="A2486" s="516"/>
      <c r="B2486" s="459"/>
      <c r="C2486" s="163"/>
      <c r="D2486" s="459"/>
      <c r="E2486" s="460"/>
      <c r="F2486" s="461"/>
      <c r="G2486" s="514"/>
    </row>
    <row r="2487" spans="1:7" ht="19.899999999999999" customHeight="1">
      <c r="A2487" s="574" t="str">
        <f>B2421</f>
        <v>5.2.11</v>
      </c>
      <c r="B2487" s="571" t="str">
        <f ca="1">C2421</f>
        <v>Readecuacion comparto de derivacion</v>
      </c>
      <c r="C2487" s="459"/>
      <c r="D2487" s="459" t="s">
        <v>1831</v>
      </c>
      <c r="E2487" s="572"/>
      <c r="F2487" s="573" t="str">
        <f ca="1">"$/"&amp;G2421</f>
        <v>$/gl.</v>
      </c>
      <c r="G2487" s="523">
        <f>SUBTOTAL(9,G2444:G2486)</f>
        <v>0</v>
      </c>
    </row>
    <row r="2488" spans="1:7" ht="19.899999999999999" customHeight="1">
      <c r="A2488" s="519"/>
      <c r="B2488" s="520"/>
      <c r="C2488" s="521"/>
      <c r="D2488" s="521" t="s">
        <v>2041</v>
      </c>
      <c r="E2488" s="522"/>
      <c r="F2488" s="575" t="str">
        <f ca="1">"$/"&amp;G2421</f>
        <v>$/gl.</v>
      </c>
      <c r="G2488" s="523">
        <f>ROUND(G2487*Coeficiente_Paso,2)</f>
        <v>0</v>
      </c>
    </row>
    <row r="2489" spans="1:7" ht="19.899999999999999" customHeight="1">
      <c r="A2489" s="163"/>
      <c r="B2489" s="163"/>
      <c r="C2489" s="163"/>
      <c r="D2489" s="163"/>
      <c r="E2489" s="163"/>
      <c r="F2489" s="163"/>
      <c r="G2489" s="163"/>
    </row>
    <row r="2490" spans="1:7" ht="19.899999999999999" customHeight="1">
      <c r="A2490" s="687" t="s">
        <v>30</v>
      </c>
      <c r="B2490" s="688"/>
      <c r="C2490" s="688"/>
      <c r="D2490" s="688"/>
      <c r="E2490" s="688"/>
      <c r="F2490" s="688"/>
      <c r="G2490" s="689"/>
    </row>
    <row r="2491" spans="1:7" ht="19.899999999999999" customHeight="1">
      <c r="A2491" s="502" t="s">
        <v>710</v>
      </c>
      <c r="B2491" s="453" t="str">
        <f>Comitente</f>
        <v>DEPARTAMENTO DE HIDRAULICA</v>
      </c>
      <c r="C2491" s="454"/>
      <c r="D2491" s="455"/>
      <c r="E2491" s="455"/>
      <c r="F2491" s="456"/>
      <c r="G2491" s="503"/>
    </row>
    <row r="2492" spans="1:7" ht="19.899999999999999" customHeight="1">
      <c r="A2492" s="502" t="s">
        <v>711</v>
      </c>
      <c r="B2492" s="453">
        <f>Contratista</f>
        <v>0</v>
      </c>
      <c r="C2492" s="457"/>
      <c r="D2492" s="457"/>
      <c r="E2492" s="457"/>
      <c r="F2492" s="453"/>
      <c r="G2492" s="504"/>
    </row>
    <row r="2493" spans="1:7" ht="19.899999999999999" customHeight="1">
      <c r="A2493" s="502" t="s">
        <v>20</v>
      </c>
      <c r="B2493" s="453" t="str">
        <f>Obra</f>
        <v>MEJORA DE LA RED DE RIEGO DEL VALLE DE JÁCHAL</v>
      </c>
      <c r="C2493" s="457"/>
      <c r="D2493" s="457"/>
      <c r="E2493" s="457"/>
      <c r="F2493" s="453" t="s">
        <v>31</v>
      </c>
      <c r="G2493" s="504" t="str">
        <f>Fecha_Base</f>
        <v>XX/07/2020</v>
      </c>
    </row>
    <row r="2494" spans="1:7" ht="19.899999999999999" customHeight="1">
      <c r="A2494" s="505" t="s">
        <v>709</v>
      </c>
      <c r="B2494" s="458" t="str">
        <f>Ubicación</f>
        <v>JACHAL</v>
      </c>
      <c r="C2494" s="458"/>
      <c r="D2494" s="459"/>
      <c r="E2494" s="460"/>
      <c r="F2494" s="461"/>
      <c r="G2494" s="506"/>
    </row>
    <row r="2495" spans="1:7" ht="19.899999999999999" customHeight="1">
      <c r="A2495" s="505" t="s">
        <v>32</v>
      </c>
      <c r="B2495" s="462">
        <f>IFERROR(VALUE(LEFT(B2496,FIND(".",B2496)-1)),"")</f>
        <v>6</v>
      </c>
      <c r="C2495" s="163" t="str">
        <f ca="1">IFERROR(VLOOKUP(B2495,T_Computo_Presupuesto,2,FALSE),0)</f>
        <v>CANAL DEL NORTE</v>
      </c>
      <c r="D2495" s="163"/>
      <c r="E2495" s="460"/>
      <c r="F2495" s="461"/>
      <c r="G2495" s="506"/>
    </row>
    <row r="2496" spans="1:7" ht="19.899999999999999" customHeight="1">
      <c r="A2496" s="505" t="s">
        <v>21</v>
      </c>
      <c r="B2496" s="463" t="str">
        <f>IFERROR(VLOOKUP(COUNTIF($A$1:A2496,"ANALISIS DE PRECIOS"),T_NumeroItem,2,FALSE),"")</f>
        <v>6.1.1</v>
      </c>
      <c r="C2496" s="690" t="str">
        <f ca="1">IFERROR(VLOOKUP(B2496,T_Computo_Presupuesto,2,FALSE),0)</f>
        <v>Rehabilitación camino de servicio</v>
      </c>
      <c r="D2496" s="690"/>
      <c r="E2496" s="690"/>
      <c r="F2496" s="458" t="s">
        <v>22</v>
      </c>
      <c r="G2496" s="507" t="str">
        <f ca="1">IFERROR(VLOOKUP(B2496,T_Computo_Presupuesto,4,FALSE),0)</f>
        <v>m</v>
      </c>
    </row>
    <row r="2497" spans="1:7" ht="19.899999999999999" customHeight="1">
      <c r="A2497" s="505"/>
      <c r="B2497" s="458"/>
      <c r="C2497" s="163"/>
      <c r="D2497" s="459"/>
      <c r="E2497" s="460"/>
      <c r="F2497" s="163"/>
      <c r="G2497" s="508"/>
    </row>
    <row r="2498" spans="1:7" ht="19.899999999999999" customHeight="1">
      <c r="A2498" s="509"/>
      <c r="B2498" s="464"/>
      <c r="C2498" s="465" t="s">
        <v>998</v>
      </c>
      <c r="D2498" s="464"/>
      <c r="E2498" s="464"/>
      <c r="F2498" s="464"/>
      <c r="G2498" s="510"/>
    </row>
    <row r="2499" spans="1:7" ht="19.899999999999999" customHeight="1">
      <c r="A2499" s="505"/>
      <c r="B2499" s="466"/>
      <c r="C2499" s="163"/>
      <c r="D2499" s="459"/>
      <c r="E2499" s="460"/>
      <c r="F2499" s="458"/>
      <c r="G2499" s="507"/>
    </row>
    <row r="2500" spans="1:7" ht="19.899999999999999" customHeight="1">
      <c r="A2500" s="505"/>
      <c r="B2500" s="466"/>
      <c r="C2500" s="467" t="s">
        <v>999</v>
      </c>
      <c r="D2500" s="468" t="s">
        <v>23</v>
      </c>
      <c r="E2500" s="468" t="s">
        <v>1000</v>
      </c>
      <c r="F2500" s="468" t="s">
        <v>1001</v>
      </c>
      <c r="G2500" s="467" t="s">
        <v>1002</v>
      </c>
    </row>
    <row r="2501" spans="1:7" ht="19.899999999999999" customHeight="1">
      <c r="A2501" s="505"/>
      <c r="B2501" s="466"/>
      <c r="C2501" s="469"/>
      <c r="D2501" s="470"/>
      <c r="E2501" s="471">
        <f t="shared" ref="E2501:E2510" si="846">IFERROR(VLOOKUP(C2501,T_Equipos,4,FALSE),0)</f>
        <v>0</v>
      </c>
      <c r="F2501" s="472">
        <f t="shared" ref="F2501:F2510" si="847">IFERROR(VLOOKUP(C2501,T_Equipos,5,FALSE),0)</f>
        <v>0</v>
      </c>
      <c r="G2501" s="472">
        <f>ROUND(D2501*F2501,2)</f>
        <v>0</v>
      </c>
    </row>
    <row r="2502" spans="1:7" ht="19.899999999999999" customHeight="1">
      <c r="A2502" s="505"/>
      <c r="B2502" s="466"/>
      <c r="C2502" s="469"/>
      <c r="D2502" s="470"/>
      <c r="E2502" s="471">
        <f t="shared" si="846"/>
        <v>0</v>
      </c>
      <c r="F2502" s="472">
        <f t="shared" si="847"/>
        <v>0</v>
      </c>
      <c r="G2502" s="472">
        <f>ROUND(D2502*F2502,2)</f>
        <v>0</v>
      </c>
    </row>
    <row r="2503" spans="1:7" ht="19.899999999999999" customHeight="1">
      <c r="A2503" s="505"/>
      <c r="B2503" s="466"/>
      <c r="C2503" s="469"/>
      <c r="D2503" s="470"/>
      <c r="E2503" s="471">
        <f t="shared" si="846"/>
        <v>0</v>
      </c>
      <c r="F2503" s="472">
        <f t="shared" si="847"/>
        <v>0</v>
      </c>
      <c r="G2503" s="472">
        <f>ROUND(D2503*F2503,2)</f>
        <v>0</v>
      </c>
    </row>
    <row r="2504" spans="1:7" ht="19.899999999999999" customHeight="1">
      <c r="A2504" s="505"/>
      <c r="B2504" s="466"/>
      <c r="C2504" s="469"/>
      <c r="D2504" s="470"/>
      <c r="E2504" s="471">
        <f t="shared" si="846"/>
        <v>0</v>
      </c>
      <c r="F2504" s="472">
        <f t="shared" si="847"/>
        <v>0</v>
      </c>
      <c r="G2504" s="472">
        <f>ROUND(D2504*F2504,2)</f>
        <v>0</v>
      </c>
    </row>
    <row r="2505" spans="1:7" ht="19.899999999999999" customHeight="1">
      <c r="A2505" s="505"/>
      <c r="B2505" s="466"/>
      <c r="C2505" s="469"/>
      <c r="D2505" s="470"/>
      <c r="E2505" s="471">
        <f t="shared" si="846"/>
        <v>0</v>
      </c>
      <c r="F2505" s="472">
        <f t="shared" si="847"/>
        <v>0</v>
      </c>
      <c r="G2505" s="472">
        <f t="shared" ref="G2505:G2510" si="848">ROUND(D2505*F2505,2)</f>
        <v>0</v>
      </c>
    </row>
    <row r="2506" spans="1:7" ht="19.899999999999999" customHeight="1">
      <c r="A2506" s="505"/>
      <c r="B2506" s="466"/>
      <c r="C2506" s="469"/>
      <c r="D2506" s="470"/>
      <c r="E2506" s="471">
        <f t="shared" si="846"/>
        <v>0</v>
      </c>
      <c r="F2506" s="472">
        <f t="shared" si="847"/>
        <v>0</v>
      </c>
      <c r="G2506" s="472">
        <f t="shared" si="848"/>
        <v>0</v>
      </c>
    </row>
    <row r="2507" spans="1:7" ht="19.899999999999999" customHeight="1">
      <c r="A2507" s="505"/>
      <c r="B2507" s="466"/>
      <c r="C2507" s="469"/>
      <c r="D2507" s="470"/>
      <c r="E2507" s="471">
        <f t="shared" si="846"/>
        <v>0</v>
      </c>
      <c r="F2507" s="472">
        <f t="shared" si="847"/>
        <v>0</v>
      </c>
      <c r="G2507" s="472">
        <f t="shared" si="848"/>
        <v>0</v>
      </c>
    </row>
    <row r="2508" spans="1:7" ht="19.899999999999999" customHeight="1">
      <c r="A2508" s="505"/>
      <c r="B2508" s="466"/>
      <c r="C2508" s="469"/>
      <c r="D2508" s="470"/>
      <c r="E2508" s="471">
        <f t="shared" si="846"/>
        <v>0</v>
      </c>
      <c r="F2508" s="472">
        <f t="shared" si="847"/>
        <v>0</v>
      </c>
      <c r="G2508" s="472">
        <f t="shared" si="848"/>
        <v>0</v>
      </c>
    </row>
    <row r="2509" spans="1:7" ht="19.899999999999999" customHeight="1">
      <c r="A2509" s="505"/>
      <c r="B2509" s="466"/>
      <c r="C2509" s="469"/>
      <c r="D2509" s="470"/>
      <c r="E2509" s="471">
        <f t="shared" si="846"/>
        <v>0</v>
      </c>
      <c r="F2509" s="472">
        <f t="shared" si="847"/>
        <v>0</v>
      </c>
      <c r="G2509" s="472">
        <f t="shared" si="848"/>
        <v>0</v>
      </c>
    </row>
    <row r="2510" spans="1:7" ht="19.899999999999999" customHeight="1">
      <c r="A2510" s="505"/>
      <c r="B2510" s="466"/>
      <c r="C2510" s="469"/>
      <c r="D2510" s="470"/>
      <c r="E2510" s="471">
        <f t="shared" si="846"/>
        <v>0</v>
      </c>
      <c r="F2510" s="472">
        <f t="shared" si="847"/>
        <v>0</v>
      </c>
      <c r="G2510" s="472">
        <f t="shared" si="848"/>
        <v>0</v>
      </c>
    </row>
    <row r="2511" spans="1:7" ht="19.899999999999999" customHeight="1">
      <c r="A2511" s="505"/>
      <c r="B2511" s="466"/>
      <c r="C2511" s="163"/>
      <c r="D2511" s="163"/>
      <c r="E2511" s="473"/>
      <c r="F2511" s="458"/>
      <c r="G2511" s="507"/>
    </row>
    <row r="2512" spans="1:7" ht="19.899999999999999" customHeight="1">
      <c r="A2512" s="505"/>
      <c r="B2512" s="163"/>
      <c r="C2512" s="455" t="s">
        <v>1003</v>
      </c>
      <c r="D2512" s="458" t="s">
        <v>1000</v>
      </c>
      <c r="E2512" s="524">
        <f>SUMPRODUCT(D2501:D2510,E2501:E2510)</f>
        <v>0</v>
      </c>
      <c r="F2512" s="458" t="s">
        <v>1004</v>
      </c>
      <c r="G2512" s="525">
        <f>SUM(G2501:G2510)</f>
        <v>0</v>
      </c>
    </row>
    <row r="2513" spans="1:7" ht="19.899999999999999" customHeight="1">
      <c r="A2513" s="505"/>
      <c r="B2513" s="466"/>
      <c r="C2513" s="474"/>
      <c r="D2513" s="473"/>
      <c r="E2513" s="460"/>
      <c r="F2513" s="458"/>
      <c r="G2513" s="511"/>
    </row>
    <row r="2514" spans="1:7" ht="19.899999999999999" customHeight="1">
      <c r="A2514" s="512"/>
      <c r="B2514" s="466"/>
      <c r="C2514" s="458" t="s">
        <v>1005</v>
      </c>
      <c r="D2514" s="475"/>
      <c r="E2514" s="476" t="str">
        <f ca="1">G2496&amp;"/día"</f>
        <v>m/día</v>
      </c>
      <c r="F2514" s="452"/>
      <c r="G2514" s="507"/>
    </row>
    <row r="2515" spans="1:7" ht="19.899999999999999" customHeight="1">
      <c r="A2515" s="505"/>
      <c r="B2515" s="466"/>
      <c r="C2515" s="163"/>
      <c r="D2515" s="459"/>
      <c r="E2515" s="460"/>
      <c r="F2515" s="458"/>
      <c r="G2515" s="507"/>
    </row>
    <row r="2516" spans="1:7" ht="19.899999999999999" customHeight="1">
      <c r="A2516" s="677" t="s">
        <v>575</v>
      </c>
      <c r="B2516" s="678"/>
      <c r="C2516" s="679" t="s">
        <v>0</v>
      </c>
      <c r="D2516" s="691" t="s">
        <v>1864</v>
      </c>
      <c r="E2516" s="691" t="s">
        <v>1863</v>
      </c>
      <c r="F2516" s="683" t="s">
        <v>1006</v>
      </c>
      <c r="G2516" s="685" t="s">
        <v>25</v>
      </c>
    </row>
    <row r="2517" spans="1:7" ht="19.899999999999999" customHeight="1">
      <c r="A2517" s="477" t="s">
        <v>576</v>
      </c>
      <c r="B2517" s="477" t="s">
        <v>577</v>
      </c>
      <c r="C2517" s="680"/>
      <c r="D2517" s="692"/>
      <c r="E2517" s="682"/>
      <c r="F2517" s="684"/>
      <c r="G2517" s="686"/>
    </row>
    <row r="2518" spans="1:7" ht="19.899999999999999" customHeight="1">
      <c r="A2518" s="513"/>
      <c r="B2518" s="163"/>
      <c r="C2518" s="455" t="s">
        <v>1007</v>
      </c>
      <c r="D2518" s="460"/>
      <c r="E2518" s="460"/>
      <c r="F2518" s="163"/>
      <c r="G2518" s="514"/>
    </row>
    <row r="2519" spans="1:7" ht="19.899999999999999" customHeight="1">
      <c r="A2519" s="515">
        <f t="shared" ref="A2519:A2527" si="849">IFERROR(VLOOKUP(C2519,T_Insumos,4,FALSE),0)</f>
        <v>0</v>
      </c>
      <c r="B2519" s="478">
        <f t="shared" ref="B2519:B2527" si="850">IFERROR(VLOOKUP(C2519,T_Insumos,5,FALSE),0)</f>
        <v>0</v>
      </c>
      <c r="C2519" s="469"/>
      <c r="D2519" s="479">
        <f t="shared" ref="D2519:D2527" si="851">IFERROR(VLOOKUP(C2519,T_Insumos,3,FALSE),0)</f>
        <v>0</v>
      </c>
      <c r="E2519" s="472">
        <f>D2519*$G$23</f>
        <v>0</v>
      </c>
      <c r="F2519" s="475">
        <f>IF(C2519="",0,IFERROR(VLOOKUP(COUNTIF($A$1:A2519,"ANALISIS DE PRECIOS"),T_Rendimiento_Equipo,5,FALSE),0))</f>
        <v>0</v>
      </c>
      <c r="G2519" s="472">
        <f>IFERROR(ROUND(E2519/F2519,2),0)</f>
        <v>0</v>
      </c>
    </row>
    <row r="2520" spans="1:7" ht="19.899999999999999" customHeight="1">
      <c r="A2520" s="515">
        <f t="shared" si="849"/>
        <v>0</v>
      </c>
      <c r="B2520" s="478">
        <f t="shared" si="850"/>
        <v>0</v>
      </c>
      <c r="C2520" s="469"/>
      <c r="D2520" s="479">
        <f t="shared" si="851"/>
        <v>0</v>
      </c>
      <c r="E2520" s="472">
        <f t="shared" ref="E2520:E2527" si="852">D2520*$G$23</f>
        <v>0</v>
      </c>
      <c r="F2520" s="475">
        <f>IF(C2520="",0,IFERROR(VLOOKUP(COUNTIF($A$1:A2520,"ANALISIS DE PRECIOS"),T_Rendimiento_Equipo,5,FALSE),0))</f>
        <v>0</v>
      </c>
      <c r="G2520" s="472">
        <f t="shared" ref="G2520:G2527" si="853">IFERROR(ROUND(E2520/F2520,2),0)</f>
        <v>0</v>
      </c>
    </row>
    <row r="2521" spans="1:7" ht="19.899999999999999" customHeight="1">
      <c r="A2521" s="515">
        <f t="shared" si="849"/>
        <v>0</v>
      </c>
      <c r="B2521" s="478">
        <f t="shared" si="850"/>
        <v>0</v>
      </c>
      <c r="C2521" s="480"/>
      <c r="D2521" s="479">
        <f t="shared" si="851"/>
        <v>0</v>
      </c>
      <c r="E2521" s="472">
        <f t="shared" si="852"/>
        <v>0</v>
      </c>
      <c r="F2521" s="475">
        <f>IF(C2521="",0,IFERROR(VLOOKUP(COUNTIF($A$1:A2521,"ANALISIS DE PRECIOS"),T_Rendimiento_Equipo,5,FALSE),0))</f>
        <v>0</v>
      </c>
      <c r="G2521" s="472">
        <f t="shared" si="853"/>
        <v>0</v>
      </c>
    </row>
    <row r="2522" spans="1:7" ht="19.899999999999999" customHeight="1">
      <c r="A2522" s="515">
        <f t="shared" si="849"/>
        <v>0</v>
      </c>
      <c r="B2522" s="478">
        <f t="shared" si="850"/>
        <v>0</v>
      </c>
      <c r="C2522" s="480"/>
      <c r="D2522" s="479">
        <f t="shared" si="851"/>
        <v>0</v>
      </c>
      <c r="E2522" s="472">
        <f t="shared" si="852"/>
        <v>0</v>
      </c>
      <c r="F2522" s="475">
        <f>IF(C2522="",0,IFERROR(VLOOKUP(COUNTIF($A$1:A2522,"ANALISIS DE PRECIOS"),T_Rendimiento_Equipo,5,FALSE),0))</f>
        <v>0</v>
      </c>
      <c r="G2522" s="472">
        <f t="shared" si="853"/>
        <v>0</v>
      </c>
    </row>
    <row r="2523" spans="1:7" ht="19.899999999999999" customHeight="1">
      <c r="A2523" s="515">
        <f t="shared" si="849"/>
        <v>0</v>
      </c>
      <c r="B2523" s="478">
        <f t="shared" si="850"/>
        <v>0</v>
      </c>
      <c r="C2523" s="480"/>
      <c r="D2523" s="479">
        <f t="shared" si="851"/>
        <v>0</v>
      </c>
      <c r="E2523" s="472">
        <f t="shared" si="852"/>
        <v>0</v>
      </c>
      <c r="F2523" s="475">
        <f>IF(C2523="",0,IFERROR(VLOOKUP(COUNTIF($A$1:A2523,"ANALISIS DE PRECIOS"),T_Rendimiento_Equipo,5,FALSE),0))</f>
        <v>0</v>
      </c>
      <c r="G2523" s="472">
        <f t="shared" si="853"/>
        <v>0</v>
      </c>
    </row>
    <row r="2524" spans="1:7" ht="19.899999999999999" customHeight="1">
      <c r="A2524" s="515">
        <f t="shared" si="849"/>
        <v>0</v>
      </c>
      <c r="B2524" s="478">
        <f t="shared" si="850"/>
        <v>0</v>
      </c>
      <c r="C2524" s="480"/>
      <c r="D2524" s="479">
        <f t="shared" si="851"/>
        <v>0</v>
      </c>
      <c r="E2524" s="472">
        <f t="shared" si="852"/>
        <v>0</v>
      </c>
      <c r="F2524" s="475">
        <f>IF(C2524="",0,IFERROR(VLOOKUP(COUNTIF($A$1:A2524,"ANALISIS DE PRECIOS"),T_Rendimiento_Equipo,5,FALSE),0))</f>
        <v>0</v>
      </c>
      <c r="G2524" s="472">
        <f t="shared" si="853"/>
        <v>0</v>
      </c>
    </row>
    <row r="2525" spans="1:7" ht="19.899999999999999" customHeight="1">
      <c r="A2525" s="515">
        <f t="shared" si="849"/>
        <v>0</v>
      </c>
      <c r="B2525" s="478">
        <f t="shared" si="850"/>
        <v>0</v>
      </c>
      <c r="C2525" s="480"/>
      <c r="D2525" s="479">
        <f t="shared" si="851"/>
        <v>0</v>
      </c>
      <c r="E2525" s="472">
        <f t="shared" si="852"/>
        <v>0</v>
      </c>
      <c r="F2525" s="475">
        <f>IF(C2525="",0,IFERROR(VLOOKUP(COUNTIF($A$1:A2525,"ANALISIS DE PRECIOS"),T_Rendimiento_Equipo,5,FALSE),0))</f>
        <v>0</v>
      </c>
      <c r="G2525" s="472">
        <f t="shared" si="853"/>
        <v>0</v>
      </c>
    </row>
    <row r="2526" spans="1:7" ht="19.899999999999999" customHeight="1">
      <c r="A2526" s="515">
        <f t="shared" si="849"/>
        <v>0</v>
      </c>
      <c r="B2526" s="478">
        <f t="shared" si="850"/>
        <v>0</v>
      </c>
      <c r="C2526" s="480"/>
      <c r="D2526" s="479">
        <f t="shared" si="851"/>
        <v>0</v>
      </c>
      <c r="E2526" s="472">
        <f t="shared" si="852"/>
        <v>0</v>
      </c>
      <c r="F2526" s="475">
        <f>IF(C2526="",0,IFERROR(VLOOKUP(COUNTIF($A$1:A2526,"ANALISIS DE PRECIOS"),T_Rendimiento_Equipo,5,FALSE),0))</f>
        <v>0</v>
      </c>
      <c r="G2526" s="472">
        <f t="shared" si="853"/>
        <v>0</v>
      </c>
    </row>
    <row r="2527" spans="1:7" ht="19.899999999999999" customHeight="1">
      <c r="A2527" s="515">
        <f t="shared" si="849"/>
        <v>0</v>
      </c>
      <c r="B2527" s="478">
        <f t="shared" si="850"/>
        <v>0</v>
      </c>
      <c r="C2527" s="469"/>
      <c r="D2527" s="479">
        <f t="shared" si="851"/>
        <v>0</v>
      </c>
      <c r="E2527" s="472">
        <f t="shared" si="852"/>
        <v>0</v>
      </c>
      <c r="F2527" s="475">
        <f>IF(C2527="",0,IFERROR(VLOOKUP(COUNTIF($A$1:A2527,"ANALISIS DE PRECIOS"),T_Rendimiento_Equipo,5,FALSE),0))</f>
        <v>0</v>
      </c>
      <c r="G2527" s="472">
        <f t="shared" si="853"/>
        <v>0</v>
      </c>
    </row>
    <row r="2528" spans="1:7" ht="19.899999999999999" customHeight="1">
      <c r="A2528" s="516"/>
      <c r="B2528" s="459"/>
      <c r="C2528" s="163"/>
      <c r="D2528" s="459"/>
      <c r="E2528" s="460"/>
      <c r="F2528" s="650" t="s">
        <v>26</v>
      </c>
      <c r="G2528" s="517">
        <f>SUBTOTAL(9,G2519:G2527)</f>
        <v>0</v>
      </c>
    </row>
    <row r="2529" spans="1:7" ht="19.899999999999999" customHeight="1">
      <c r="A2529" s="513"/>
      <c r="B2529" s="163"/>
      <c r="C2529" s="455" t="s">
        <v>712</v>
      </c>
      <c r="D2529" s="459"/>
      <c r="E2529" s="460"/>
      <c r="F2529" s="461"/>
      <c r="G2529" s="514"/>
    </row>
    <row r="2530" spans="1:7" ht="19.899999999999999" customHeight="1">
      <c r="A2530" s="677" t="s">
        <v>575</v>
      </c>
      <c r="B2530" s="678"/>
      <c r="C2530" s="679" t="s">
        <v>0</v>
      </c>
      <c r="D2530" s="681" t="s">
        <v>23</v>
      </c>
      <c r="E2530" s="681" t="s">
        <v>1830</v>
      </c>
      <c r="F2530" s="683" t="s">
        <v>1006</v>
      </c>
      <c r="G2530" s="685" t="s">
        <v>25</v>
      </c>
    </row>
    <row r="2531" spans="1:7" ht="19.899999999999999" customHeight="1">
      <c r="A2531" s="477" t="s">
        <v>576</v>
      </c>
      <c r="B2531" s="477" t="s">
        <v>577</v>
      </c>
      <c r="C2531" s="680"/>
      <c r="D2531" s="682"/>
      <c r="E2531" s="682"/>
      <c r="F2531" s="684"/>
      <c r="G2531" s="686"/>
    </row>
    <row r="2532" spans="1:7" ht="19.899999999999999" customHeight="1">
      <c r="A2532" s="515">
        <f t="shared" ref="A2532:A2538" si="854">IFERROR(VLOOKUP(C2532,T_Insumos,4,FALSE),0)</f>
        <v>0</v>
      </c>
      <c r="B2532" s="478">
        <f t="shared" ref="B2532:B2538" si="855">IFERROR(VLOOKUP(C2532,T_Insumos,5,FALSE),0)</f>
        <v>0</v>
      </c>
      <c r="C2532" s="482"/>
      <c r="D2532" s="475"/>
      <c r="E2532" s="472">
        <f t="shared" ref="E2532:E2538" si="856">IFERROR(VLOOKUP(C2532,T_Insumos,3,FALSE),0)</f>
        <v>0</v>
      </c>
      <c r="F2532" s="475">
        <f>IF(C2532="",0,IFERROR(VLOOKUP(COUNTIF($A$1:A2532,"ANALISIS DE PRECIOS"),T_Rendimiento_Equipo,5,FALSE),0))</f>
        <v>0</v>
      </c>
      <c r="G2532" s="472">
        <f>IFERROR(ROUND(D2532*E2532/F2532,2),0)</f>
        <v>0</v>
      </c>
    </row>
    <row r="2533" spans="1:7" ht="19.899999999999999" customHeight="1">
      <c r="A2533" s="515">
        <f t="shared" si="854"/>
        <v>0</v>
      </c>
      <c r="B2533" s="478">
        <f t="shared" si="855"/>
        <v>0</v>
      </c>
      <c r="C2533" s="469"/>
      <c r="D2533" s="475"/>
      <c r="E2533" s="472">
        <f t="shared" si="856"/>
        <v>0</v>
      </c>
      <c r="F2533" s="475">
        <f>IF(C2533="",0,IFERROR(VLOOKUP(COUNTIF($A$1:A2533,"ANALISIS DE PRECIOS"),T_Rendimiento_Equipo,5,FALSE),0))</f>
        <v>0</v>
      </c>
      <c r="G2533" s="472">
        <f t="shared" ref="G2533:G2538" si="857">IFERROR(ROUND(D2533*E2533/F2533,2),0)</f>
        <v>0</v>
      </c>
    </row>
    <row r="2534" spans="1:7" ht="19.899999999999999" customHeight="1">
      <c r="A2534" s="515">
        <f t="shared" si="854"/>
        <v>0</v>
      </c>
      <c r="B2534" s="478">
        <f t="shared" si="855"/>
        <v>0</v>
      </c>
      <c r="C2534" s="469"/>
      <c r="D2534" s="475"/>
      <c r="E2534" s="472">
        <f t="shared" si="856"/>
        <v>0</v>
      </c>
      <c r="F2534" s="475">
        <f>IF(C2534="",0,IFERROR(VLOOKUP(COUNTIF($A$1:A2534,"ANALISIS DE PRECIOS"),T_Rendimiento_Equipo,5,FALSE),0))</f>
        <v>0</v>
      </c>
      <c r="G2534" s="472">
        <f t="shared" si="857"/>
        <v>0</v>
      </c>
    </row>
    <row r="2535" spans="1:7" ht="19.899999999999999" customHeight="1">
      <c r="A2535" s="515">
        <f t="shared" si="854"/>
        <v>0</v>
      </c>
      <c r="B2535" s="478">
        <f t="shared" si="855"/>
        <v>0</v>
      </c>
      <c r="C2535" s="469"/>
      <c r="D2535" s="475"/>
      <c r="E2535" s="472">
        <f t="shared" si="856"/>
        <v>0</v>
      </c>
      <c r="F2535" s="475">
        <f>IF(C2535="",0,IFERROR(VLOOKUP(COUNTIF($A$1:A2535,"ANALISIS DE PRECIOS"),T_Rendimiento_Equipo,5,FALSE),0))</f>
        <v>0</v>
      </c>
      <c r="G2535" s="472">
        <f t="shared" si="857"/>
        <v>0</v>
      </c>
    </row>
    <row r="2536" spans="1:7" ht="19.899999999999999" customHeight="1">
      <c r="A2536" s="515">
        <f t="shared" si="854"/>
        <v>0</v>
      </c>
      <c r="B2536" s="478">
        <f t="shared" si="855"/>
        <v>0</v>
      </c>
      <c r="C2536" s="469"/>
      <c r="D2536" s="475"/>
      <c r="E2536" s="472">
        <f t="shared" si="856"/>
        <v>0</v>
      </c>
      <c r="F2536" s="475">
        <f>IF(C2536="",0,IFERROR(VLOOKUP(COUNTIF($A$1:A2536,"ANALISIS DE PRECIOS"),T_Rendimiento_Equipo,5,FALSE),0))</f>
        <v>0</v>
      </c>
      <c r="G2536" s="472">
        <f t="shared" si="857"/>
        <v>0</v>
      </c>
    </row>
    <row r="2537" spans="1:7" ht="19.899999999999999" customHeight="1">
      <c r="A2537" s="515">
        <f t="shared" si="854"/>
        <v>0</v>
      </c>
      <c r="B2537" s="478">
        <f t="shared" si="855"/>
        <v>0</v>
      </c>
      <c r="C2537" s="469"/>
      <c r="D2537" s="483"/>
      <c r="E2537" s="472">
        <f t="shared" si="856"/>
        <v>0</v>
      </c>
      <c r="F2537" s="475">
        <f>IF(C2537="",0,IFERROR(VLOOKUP(COUNTIF($A$1:A2537,"ANALISIS DE PRECIOS"),T_Rendimiento_Equipo,5,FALSE),0))</f>
        <v>0</v>
      </c>
      <c r="G2537" s="472">
        <f t="shared" si="857"/>
        <v>0</v>
      </c>
    </row>
    <row r="2538" spans="1:7" ht="19.899999999999999" customHeight="1">
      <c r="A2538" s="515">
        <f t="shared" si="854"/>
        <v>0</v>
      </c>
      <c r="B2538" s="478">
        <f t="shared" si="855"/>
        <v>0</v>
      </c>
      <c r="C2538" s="478"/>
      <c r="D2538" s="484"/>
      <c r="E2538" s="472">
        <f t="shared" si="856"/>
        <v>0</v>
      </c>
      <c r="F2538" s="475">
        <f>IF(C2538="",0,IFERROR(VLOOKUP(COUNTIF($A$1:A2538,"ANALISIS DE PRECIOS"),T_Rendimiento_Equipo,5,FALSE),0))</f>
        <v>0</v>
      </c>
      <c r="G2538" s="472">
        <f t="shared" si="857"/>
        <v>0</v>
      </c>
    </row>
    <row r="2539" spans="1:7" ht="19.899999999999999" customHeight="1">
      <c r="A2539" s="516"/>
      <c r="B2539" s="459"/>
      <c r="C2539" s="163"/>
      <c r="D2539" s="459"/>
      <c r="E2539" s="460"/>
      <c r="F2539" s="650" t="s">
        <v>27</v>
      </c>
      <c r="G2539" s="518">
        <f>SUBTOTAL(9,G2532:G2538)</f>
        <v>0</v>
      </c>
    </row>
    <row r="2540" spans="1:7" ht="19.899999999999999" customHeight="1">
      <c r="A2540" s="513"/>
      <c r="B2540" s="163"/>
      <c r="C2540" s="455" t="s">
        <v>1013</v>
      </c>
      <c r="D2540" s="459"/>
      <c r="E2540" s="460"/>
      <c r="F2540" s="461"/>
      <c r="G2540" s="514"/>
    </row>
    <row r="2541" spans="1:7" ht="19.899999999999999" customHeight="1">
      <c r="A2541" s="677" t="s">
        <v>575</v>
      </c>
      <c r="B2541" s="678"/>
      <c r="C2541" s="679" t="s">
        <v>0</v>
      </c>
      <c r="D2541" s="679" t="s">
        <v>1865</v>
      </c>
      <c r="E2541" s="681" t="s">
        <v>23</v>
      </c>
      <c r="F2541" s="683" t="s">
        <v>24</v>
      </c>
      <c r="G2541" s="685" t="s">
        <v>25</v>
      </c>
    </row>
    <row r="2542" spans="1:7" ht="19.899999999999999" customHeight="1">
      <c r="A2542" s="477" t="s">
        <v>576</v>
      </c>
      <c r="B2542" s="477" t="s">
        <v>577</v>
      </c>
      <c r="C2542" s="680"/>
      <c r="D2542" s="680"/>
      <c r="E2542" s="682"/>
      <c r="F2542" s="684"/>
      <c r="G2542" s="686"/>
    </row>
    <row r="2543" spans="1:7" ht="19.899999999999999" customHeight="1">
      <c r="A2543" s="515">
        <f t="shared" ref="A2543:A2553" si="858">IFERROR(VLOOKUP(C2543,T_Insumos,4,FALSE),0)</f>
        <v>0</v>
      </c>
      <c r="B2543" s="478">
        <f t="shared" ref="B2543:B2553" si="859">IFERROR(VLOOKUP(C2543,T_Insumos,5,FALSE),0)</f>
        <v>0</v>
      </c>
      <c r="C2543" s="478"/>
      <c r="D2543" s="526">
        <f t="shared" ref="D2543:D2553" si="860">IFERROR(VLOOKUP(C2543,T_Insumos,2,FALSE),0)</f>
        <v>0</v>
      </c>
      <c r="E2543" s="470"/>
      <c r="F2543" s="472">
        <f t="shared" ref="F2543:F2553" si="861">IFERROR(VLOOKUP(C2543,T_Insumos,3,FALSE),0)</f>
        <v>0</v>
      </c>
      <c r="G2543" s="472">
        <f>ROUND(E2543*F2543,2)</f>
        <v>0</v>
      </c>
    </row>
    <row r="2544" spans="1:7" ht="19.899999999999999" customHeight="1">
      <c r="A2544" s="515">
        <f t="shared" si="858"/>
        <v>0</v>
      </c>
      <c r="B2544" s="478">
        <f t="shared" si="859"/>
        <v>0</v>
      </c>
      <c r="C2544" s="478"/>
      <c r="D2544" s="526">
        <f t="shared" si="860"/>
        <v>0</v>
      </c>
      <c r="E2544" s="470"/>
      <c r="F2544" s="472">
        <f t="shared" si="861"/>
        <v>0</v>
      </c>
      <c r="G2544" s="472">
        <f t="shared" ref="G2544:G2553" si="862">ROUND(E2544*F2544,2)</f>
        <v>0</v>
      </c>
    </row>
    <row r="2545" spans="1:7" ht="19.899999999999999" customHeight="1">
      <c r="A2545" s="515">
        <f t="shared" si="858"/>
        <v>0</v>
      </c>
      <c r="B2545" s="478">
        <f t="shared" si="859"/>
        <v>0</v>
      </c>
      <c r="C2545" s="478"/>
      <c r="D2545" s="526">
        <f t="shared" si="860"/>
        <v>0</v>
      </c>
      <c r="E2545" s="470"/>
      <c r="F2545" s="472">
        <f t="shared" si="861"/>
        <v>0</v>
      </c>
      <c r="G2545" s="472">
        <f t="shared" si="862"/>
        <v>0</v>
      </c>
    </row>
    <row r="2546" spans="1:7" ht="19.899999999999999" customHeight="1">
      <c r="A2546" s="515">
        <f t="shared" si="858"/>
        <v>0</v>
      </c>
      <c r="B2546" s="478">
        <f t="shared" si="859"/>
        <v>0</v>
      </c>
      <c r="C2546" s="478"/>
      <c r="D2546" s="526">
        <f t="shared" si="860"/>
        <v>0</v>
      </c>
      <c r="E2546" s="470"/>
      <c r="F2546" s="472">
        <f t="shared" si="861"/>
        <v>0</v>
      </c>
      <c r="G2546" s="472">
        <f t="shared" si="862"/>
        <v>0</v>
      </c>
    </row>
    <row r="2547" spans="1:7" ht="19.899999999999999" customHeight="1">
      <c r="A2547" s="515">
        <f t="shared" si="858"/>
        <v>0</v>
      </c>
      <c r="B2547" s="478">
        <f t="shared" si="859"/>
        <v>0</v>
      </c>
      <c r="C2547" s="478"/>
      <c r="D2547" s="526">
        <f t="shared" si="860"/>
        <v>0</v>
      </c>
      <c r="E2547" s="470"/>
      <c r="F2547" s="472">
        <f t="shared" si="861"/>
        <v>0</v>
      </c>
      <c r="G2547" s="472">
        <f t="shared" si="862"/>
        <v>0</v>
      </c>
    </row>
    <row r="2548" spans="1:7" ht="19.899999999999999" customHeight="1">
      <c r="A2548" s="515">
        <f t="shared" si="858"/>
        <v>0</v>
      </c>
      <c r="B2548" s="478">
        <f t="shared" si="859"/>
        <v>0</v>
      </c>
      <c r="C2548" s="478"/>
      <c r="D2548" s="526">
        <f t="shared" si="860"/>
        <v>0</v>
      </c>
      <c r="E2548" s="470"/>
      <c r="F2548" s="472">
        <f t="shared" si="861"/>
        <v>0</v>
      </c>
      <c r="G2548" s="472">
        <f t="shared" si="862"/>
        <v>0</v>
      </c>
    </row>
    <row r="2549" spans="1:7" ht="19.899999999999999" customHeight="1">
      <c r="A2549" s="515">
        <f t="shared" si="858"/>
        <v>0</v>
      </c>
      <c r="B2549" s="478">
        <f t="shared" si="859"/>
        <v>0</v>
      </c>
      <c r="C2549" s="478"/>
      <c r="D2549" s="526">
        <f t="shared" si="860"/>
        <v>0</v>
      </c>
      <c r="E2549" s="470"/>
      <c r="F2549" s="472">
        <f t="shared" si="861"/>
        <v>0</v>
      </c>
      <c r="G2549" s="472">
        <f t="shared" si="862"/>
        <v>0</v>
      </c>
    </row>
    <row r="2550" spans="1:7" ht="19.899999999999999" customHeight="1">
      <c r="A2550" s="515">
        <f t="shared" si="858"/>
        <v>0</v>
      </c>
      <c r="B2550" s="478">
        <f t="shared" si="859"/>
        <v>0</v>
      </c>
      <c r="C2550" s="478"/>
      <c r="D2550" s="526">
        <f t="shared" si="860"/>
        <v>0</v>
      </c>
      <c r="E2550" s="470"/>
      <c r="F2550" s="472">
        <f t="shared" si="861"/>
        <v>0</v>
      </c>
      <c r="G2550" s="472">
        <f t="shared" si="862"/>
        <v>0</v>
      </c>
    </row>
    <row r="2551" spans="1:7" ht="19.899999999999999" customHeight="1">
      <c r="A2551" s="515">
        <f t="shared" si="858"/>
        <v>0</v>
      </c>
      <c r="B2551" s="478">
        <f t="shared" si="859"/>
        <v>0</v>
      </c>
      <c r="C2551" s="478"/>
      <c r="D2551" s="526">
        <f t="shared" si="860"/>
        <v>0</v>
      </c>
      <c r="E2551" s="470"/>
      <c r="F2551" s="472">
        <f t="shared" si="861"/>
        <v>0</v>
      </c>
      <c r="G2551" s="472">
        <f t="shared" si="862"/>
        <v>0</v>
      </c>
    </row>
    <row r="2552" spans="1:7" ht="19.899999999999999" customHeight="1">
      <c r="A2552" s="515">
        <f t="shared" si="858"/>
        <v>0</v>
      </c>
      <c r="B2552" s="478">
        <f t="shared" si="859"/>
        <v>0</v>
      </c>
      <c r="C2552" s="478"/>
      <c r="D2552" s="526">
        <f t="shared" si="860"/>
        <v>0</v>
      </c>
      <c r="E2552" s="470"/>
      <c r="F2552" s="472">
        <f t="shared" si="861"/>
        <v>0</v>
      </c>
      <c r="G2552" s="472">
        <f t="shared" si="862"/>
        <v>0</v>
      </c>
    </row>
    <row r="2553" spans="1:7" ht="19.899999999999999" customHeight="1">
      <c r="A2553" s="515">
        <f t="shared" si="858"/>
        <v>0</v>
      </c>
      <c r="B2553" s="478">
        <f t="shared" si="859"/>
        <v>0</v>
      </c>
      <c r="C2553" s="478"/>
      <c r="D2553" s="526">
        <f t="shared" si="860"/>
        <v>0</v>
      </c>
      <c r="E2553" s="470"/>
      <c r="F2553" s="472">
        <f t="shared" si="861"/>
        <v>0</v>
      </c>
      <c r="G2553" s="472">
        <f t="shared" si="862"/>
        <v>0</v>
      </c>
    </row>
    <row r="2554" spans="1:7" ht="19.899999999999999" customHeight="1">
      <c r="A2554" s="513"/>
      <c r="B2554" s="163"/>
      <c r="C2554" s="163"/>
      <c r="D2554" s="459"/>
      <c r="E2554" s="460"/>
      <c r="F2554" s="650" t="s">
        <v>28</v>
      </c>
      <c r="G2554" s="518">
        <f>SUBTOTAL(9,G2543:G2553)</f>
        <v>0</v>
      </c>
    </row>
    <row r="2555" spans="1:7" ht="19.899999999999999" customHeight="1">
      <c r="A2555" s="513"/>
      <c r="B2555" s="163"/>
      <c r="C2555" s="455" t="s">
        <v>1014</v>
      </c>
      <c r="D2555" s="459"/>
      <c r="E2555" s="460"/>
      <c r="F2555" s="461"/>
      <c r="G2555" s="514"/>
    </row>
    <row r="2556" spans="1:7" ht="19.899999999999999" customHeight="1">
      <c r="A2556" s="677" t="s">
        <v>575</v>
      </c>
      <c r="B2556" s="678"/>
      <c r="C2556" s="679" t="s">
        <v>0</v>
      </c>
      <c r="D2556" s="679" t="s">
        <v>1865</v>
      </c>
      <c r="E2556" s="681" t="s">
        <v>23</v>
      </c>
      <c r="F2556" s="683" t="s">
        <v>24</v>
      </c>
      <c r="G2556" s="685" t="s">
        <v>25</v>
      </c>
    </row>
    <row r="2557" spans="1:7" ht="19.899999999999999" customHeight="1">
      <c r="A2557" s="477" t="s">
        <v>576</v>
      </c>
      <c r="B2557" s="477" t="s">
        <v>577</v>
      </c>
      <c r="C2557" s="680"/>
      <c r="D2557" s="680"/>
      <c r="E2557" s="682"/>
      <c r="F2557" s="684"/>
      <c r="G2557" s="686"/>
    </row>
    <row r="2558" spans="1:7" ht="19.899999999999999" customHeight="1">
      <c r="A2558" s="515">
        <f>IFERROR(VLOOKUP(C2558,T_Insumos,4,FALSE),0)</f>
        <v>0</v>
      </c>
      <c r="B2558" s="478">
        <f>IFERROR(VLOOKUP(C2558,T_Insumos,5,FALSE),0)</f>
        <v>0</v>
      </c>
      <c r="C2558" s="469"/>
      <c r="D2558" s="526">
        <f>IF(C2558=0,0,"$/tnkm")</f>
        <v>0</v>
      </c>
      <c r="E2558" s="470"/>
      <c r="F2558" s="472">
        <f>IFERROR(VLOOKUP(C2558,T_Insumos,3,FALSE),0)</f>
        <v>0</v>
      </c>
      <c r="G2558" s="472">
        <f>ROUND(E2558*F2558,2)</f>
        <v>0</v>
      </c>
    </row>
    <row r="2559" spans="1:7" ht="19.899999999999999" customHeight="1">
      <c r="A2559" s="515">
        <f>IFERROR(VLOOKUP(C2559,T_Insumos,4,FALSE),0)</f>
        <v>0</v>
      </c>
      <c r="B2559" s="478">
        <f>IFERROR(VLOOKUP(C2559,T_Insumos,5,FALSE),0)</f>
        <v>0</v>
      </c>
      <c r="C2559" s="469"/>
      <c r="D2559" s="526">
        <f>IF(C2559=0,0,"$/tnkm")</f>
        <v>0</v>
      </c>
      <c r="E2559" s="486"/>
      <c r="F2559" s="472">
        <f>IFERROR(VLOOKUP(C2559,T_Insumos,3,FALSE),0)</f>
        <v>0</v>
      </c>
      <c r="G2559" s="472">
        <f t="shared" ref="G2559" si="863">ROUND(E2559*F2559,2)</f>
        <v>0</v>
      </c>
    </row>
    <row r="2560" spans="1:7" ht="19.899999999999999" customHeight="1">
      <c r="A2560" s="513"/>
      <c r="B2560" s="163"/>
      <c r="C2560" s="163"/>
      <c r="D2560" s="459"/>
      <c r="E2560" s="460"/>
      <c r="F2560" s="650" t="s">
        <v>1015</v>
      </c>
      <c r="G2560" s="518">
        <f>SUBTOTAL(9,G2558:G2559)</f>
        <v>0</v>
      </c>
    </row>
    <row r="2561" spans="1:7" ht="19.899999999999999" customHeight="1">
      <c r="A2561" s="516"/>
      <c r="B2561" s="459"/>
      <c r="C2561" s="163"/>
      <c r="D2561" s="459"/>
      <c r="E2561" s="460"/>
      <c r="F2561" s="461"/>
      <c r="G2561" s="514"/>
    </row>
    <row r="2562" spans="1:7" ht="19.899999999999999" customHeight="1">
      <c r="A2562" s="574" t="str">
        <f>B2496</f>
        <v>6.1.1</v>
      </c>
      <c r="B2562" s="571" t="str">
        <f ca="1">C2496</f>
        <v>Rehabilitación camino de servicio</v>
      </c>
      <c r="C2562" s="459"/>
      <c r="D2562" s="459" t="s">
        <v>1831</v>
      </c>
      <c r="E2562" s="572"/>
      <c r="F2562" s="573" t="str">
        <f ca="1">"$/"&amp;G2496</f>
        <v>$/m</v>
      </c>
      <c r="G2562" s="523">
        <f>SUBTOTAL(9,G2519:G2561)</f>
        <v>0</v>
      </c>
    </row>
    <row r="2563" spans="1:7" ht="19.899999999999999" customHeight="1">
      <c r="A2563" s="519"/>
      <c r="B2563" s="520"/>
      <c r="C2563" s="521"/>
      <c r="D2563" s="521" t="s">
        <v>2041</v>
      </c>
      <c r="E2563" s="522"/>
      <c r="F2563" s="575" t="str">
        <f ca="1">"$/"&amp;G2496</f>
        <v>$/m</v>
      </c>
      <c r="G2563" s="523">
        <f>ROUND(G2562*Coeficiente_Paso,2)</f>
        <v>0</v>
      </c>
    </row>
    <row r="2564" spans="1:7" ht="19.899999999999999" customHeight="1">
      <c r="A2564" s="163"/>
      <c r="B2564" s="163"/>
      <c r="C2564" s="163"/>
      <c r="D2564" s="163"/>
      <c r="E2564" s="163"/>
      <c r="F2564" s="163"/>
      <c r="G2564" s="163"/>
    </row>
    <row r="2565" spans="1:7" ht="19.899999999999999" customHeight="1">
      <c r="A2565" s="687" t="s">
        <v>30</v>
      </c>
      <c r="B2565" s="688"/>
      <c r="C2565" s="688"/>
      <c r="D2565" s="688"/>
      <c r="E2565" s="688"/>
      <c r="F2565" s="688"/>
      <c r="G2565" s="689"/>
    </row>
    <row r="2566" spans="1:7" ht="19.899999999999999" customHeight="1">
      <c r="A2566" s="502" t="s">
        <v>710</v>
      </c>
      <c r="B2566" s="453" t="str">
        <f>Comitente</f>
        <v>DEPARTAMENTO DE HIDRAULICA</v>
      </c>
      <c r="C2566" s="454"/>
      <c r="D2566" s="455"/>
      <c r="E2566" s="455"/>
      <c r="F2566" s="456"/>
      <c r="G2566" s="503"/>
    </row>
    <row r="2567" spans="1:7" ht="19.899999999999999" customHeight="1">
      <c r="A2567" s="502" t="s">
        <v>711</v>
      </c>
      <c r="B2567" s="453">
        <f>Contratista</f>
        <v>0</v>
      </c>
      <c r="C2567" s="457"/>
      <c r="D2567" s="457"/>
      <c r="E2567" s="457"/>
      <c r="F2567" s="453"/>
      <c r="G2567" s="504"/>
    </row>
    <row r="2568" spans="1:7" ht="19.899999999999999" customHeight="1">
      <c r="A2568" s="502" t="s">
        <v>20</v>
      </c>
      <c r="B2568" s="453" t="str">
        <f>Obra</f>
        <v>MEJORA DE LA RED DE RIEGO DEL VALLE DE JÁCHAL</v>
      </c>
      <c r="C2568" s="457"/>
      <c r="D2568" s="457"/>
      <c r="E2568" s="457"/>
      <c r="F2568" s="453" t="s">
        <v>31</v>
      </c>
      <c r="G2568" s="504" t="str">
        <f>Fecha_Base</f>
        <v>XX/07/2020</v>
      </c>
    </row>
    <row r="2569" spans="1:7" ht="19.899999999999999" customHeight="1">
      <c r="A2569" s="505" t="s">
        <v>709</v>
      </c>
      <c r="B2569" s="458" t="str">
        <f>Ubicación</f>
        <v>JACHAL</v>
      </c>
      <c r="C2569" s="458"/>
      <c r="D2569" s="459"/>
      <c r="E2569" s="460"/>
      <c r="F2569" s="461"/>
      <c r="G2569" s="506"/>
    </row>
    <row r="2570" spans="1:7" ht="19.899999999999999" customHeight="1">
      <c r="A2570" s="505" t="s">
        <v>32</v>
      </c>
      <c r="B2570" s="462">
        <f>IFERROR(VALUE(LEFT(B2571,FIND(".",B2571)-1)),"")</f>
        <v>6</v>
      </c>
      <c r="C2570" s="163" t="str">
        <f ca="1">IFERROR(VLOOKUP(B2570,T_Computo_Presupuesto,2,FALSE),0)</f>
        <v>CANAL DEL NORTE</v>
      </c>
      <c r="D2570" s="163"/>
      <c r="E2570" s="460"/>
      <c r="F2570" s="461"/>
      <c r="G2570" s="506"/>
    </row>
    <row r="2571" spans="1:7" ht="19.899999999999999" customHeight="1">
      <c r="A2571" s="505" t="s">
        <v>21</v>
      </c>
      <c r="B2571" s="463" t="str">
        <f>IFERROR(VLOOKUP(COUNTIF($A$1:A2571,"ANALISIS DE PRECIOS"),T_NumeroItem,2,FALSE),"")</f>
        <v>6.1.2</v>
      </c>
      <c r="C2571" s="690" t="str">
        <f ca="1">IFERROR(VLOOKUP(B2571,T_Computo_Presupuesto,2,FALSE),0)</f>
        <v>Limpieza y preparación del terreno</v>
      </c>
      <c r="D2571" s="690"/>
      <c r="E2571" s="690"/>
      <c r="F2571" s="458" t="s">
        <v>22</v>
      </c>
      <c r="G2571" s="507" t="str">
        <f ca="1">IFERROR(VLOOKUP(B2571,T_Computo_Presupuesto,4,FALSE),0)</f>
        <v>m</v>
      </c>
    </row>
    <row r="2572" spans="1:7" ht="19.899999999999999" customHeight="1">
      <c r="A2572" s="505"/>
      <c r="B2572" s="458"/>
      <c r="C2572" s="163"/>
      <c r="D2572" s="459"/>
      <c r="E2572" s="460"/>
      <c r="F2572" s="163"/>
      <c r="G2572" s="508"/>
    </row>
    <row r="2573" spans="1:7" ht="19.899999999999999" customHeight="1">
      <c r="A2573" s="509"/>
      <c r="B2573" s="464"/>
      <c r="C2573" s="465" t="s">
        <v>998</v>
      </c>
      <c r="D2573" s="464"/>
      <c r="E2573" s="464"/>
      <c r="F2573" s="464"/>
      <c r="G2573" s="510"/>
    </row>
    <row r="2574" spans="1:7" ht="19.899999999999999" customHeight="1">
      <c r="A2574" s="505"/>
      <c r="B2574" s="466"/>
      <c r="C2574" s="163"/>
      <c r="D2574" s="459"/>
      <c r="E2574" s="460"/>
      <c r="F2574" s="458"/>
      <c r="G2574" s="507"/>
    </row>
    <row r="2575" spans="1:7" ht="19.899999999999999" customHeight="1">
      <c r="A2575" s="505"/>
      <c r="B2575" s="466"/>
      <c r="C2575" s="467" t="s">
        <v>999</v>
      </c>
      <c r="D2575" s="468" t="s">
        <v>23</v>
      </c>
      <c r="E2575" s="468" t="s">
        <v>1000</v>
      </c>
      <c r="F2575" s="468" t="s">
        <v>1001</v>
      </c>
      <c r="G2575" s="467" t="s">
        <v>1002</v>
      </c>
    </row>
    <row r="2576" spans="1:7" ht="19.899999999999999" customHeight="1">
      <c r="A2576" s="505"/>
      <c r="B2576" s="466"/>
      <c r="C2576" s="469"/>
      <c r="D2576" s="470"/>
      <c r="E2576" s="471">
        <f t="shared" ref="E2576:E2585" si="864">IFERROR(VLOOKUP(C2576,T_Equipos,4,FALSE),0)</f>
        <v>0</v>
      </c>
      <c r="F2576" s="472">
        <f t="shared" ref="F2576:F2585" si="865">IFERROR(VLOOKUP(C2576,T_Equipos,5,FALSE),0)</f>
        <v>0</v>
      </c>
      <c r="G2576" s="472">
        <f>ROUND(D2576*F2576,2)</f>
        <v>0</v>
      </c>
    </row>
    <row r="2577" spans="1:7" ht="19.899999999999999" customHeight="1">
      <c r="A2577" s="505"/>
      <c r="B2577" s="466"/>
      <c r="C2577" s="469"/>
      <c r="D2577" s="470"/>
      <c r="E2577" s="471">
        <f t="shared" si="864"/>
        <v>0</v>
      </c>
      <c r="F2577" s="472">
        <f t="shared" si="865"/>
        <v>0</v>
      </c>
      <c r="G2577" s="472">
        <f>ROUND(D2577*F2577,2)</f>
        <v>0</v>
      </c>
    </row>
    <row r="2578" spans="1:7" ht="19.899999999999999" customHeight="1">
      <c r="A2578" s="505"/>
      <c r="B2578" s="466"/>
      <c r="C2578" s="469"/>
      <c r="D2578" s="470"/>
      <c r="E2578" s="471">
        <f t="shared" si="864"/>
        <v>0</v>
      </c>
      <c r="F2578" s="472">
        <f t="shared" si="865"/>
        <v>0</v>
      </c>
      <c r="G2578" s="472">
        <f>ROUND(D2578*F2578,2)</f>
        <v>0</v>
      </c>
    </row>
    <row r="2579" spans="1:7" ht="19.899999999999999" customHeight="1">
      <c r="A2579" s="505"/>
      <c r="B2579" s="466"/>
      <c r="C2579" s="469"/>
      <c r="D2579" s="470"/>
      <c r="E2579" s="471">
        <f t="shared" si="864"/>
        <v>0</v>
      </c>
      <c r="F2579" s="472">
        <f t="shared" si="865"/>
        <v>0</v>
      </c>
      <c r="G2579" s="472">
        <f>ROUND(D2579*F2579,2)</f>
        <v>0</v>
      </c>
    </row>
    <row r="2580" spans="1:7" ht="19.899999999999999" customHeight="1">
      <c r="A2580" s="505"/>
      <c r="B2580" s="466"/>
      <c r="C2580" s="469"/>
      <c r="D2580" s="470"/>
      <c r="E2580" s="471">
        <f t="shared" si="864"/>
        <v>0</v>
      </c>
      <c r="F2580" s="472">
        <f t="shared" si="865"/>
        <v>0</v>
      </c>
      <c r="G2580" s="472">
        <f t="shared" ref="G2580:G2585" si="866">ROUND(D2580*F2580,2)</f>
        <v>0</v>
      </c>
    </row>
    <row r="2581" spans="1:7" ht="19.899999999999999" customHeight="1">
      <c r="A2581" s="505"/>
      <c r="B2581" s="466"/>
      <c r="C2581" s="469"/>
      <c r="D2581" s="470"/>
      <c r="E2581" s="471">
        <f t="shared" si="864"/>
        <v>0</v>
      </c>
      <c r="F2581" s="472">
        <f t="shared" si="865"/>
        <v>0</v>
      </c>
      <c r="G2581" s="472">
        <f t="shared" si="866"/>
        <v>0</v>
      </c>
    </row>
    <row r="2582" spans="1:7" ht="19.899999999999999" customHeight="1">
      <c r="A2582" s="505"/>
      <c r="B2582" s="466"/>
      <c r="C2582" s="469"/>
      <c r="D2582" s="470"/>
      <c r="E2582" s="471">
        <f t="shared" si="864"/>
        <v>0</v>
      </c>
      <c r="F2582" s="472">
        <f t="shared" si="865"/>
        <v>0</v>
      </c>
      <c r="G2582" s="472">
        <f t="shared" si="866"/>
        <v>0</v>
      </c>
    </row>
    <row r="2583" spans="1:7" ht="19.899999999999999" customHeight="1">
      <c r="A2583" s="505"/>
      <c r="B2583" s="466"/>
      <c r="C2583" s="469"/>
      <c r="D2583" s="470"/>
      <c r="E2583" s="471">
        <f t="shared" si="864"/>
        <v>0</v>
      </c>
      <c r="F2583" s="472">
        <f t="shared" si="865"/>
        <v>0</v>
      </c>
      <c r="G2583" s="472">
        <f t="shared" si="866"/>
        <v>0</v>
      </c>
    </row>
    <row r="2584" spans="1:7" ht="19.899999999999999" customHeight="1">
      <c r="A2584" s="505"/>
      <c r="B2584" s="466"/>
      <c r="C2584" s="469"/>
      <c r="D2584" s="470"/>
      <c r="E2584" s="471">
        <f t="shared" si="864"/>
        <v>0</v>
      </c>
      <c r="F2584" s="472">
        <f t="shared" si="865"/>
        <v>0</v>
      </c>
      <c r="G2584" s="472">
        <f t="shared" si="866"/>
        <v>0</v>
      </c>
    </row>
    <row r="2585" spans="1:7" ht="19.899999999999999" customHeight="1">
      <c r="A2585" s="505"/>
      <c r="B2585" s="466"/>
      <c r="C2585" s="469"/>
      <c r="D2585" s="470"/>
      <c r="E2585" s="471">
        <f t="shared" si="864"/>
        <v>0</v>
      </c>
      <c r="F2585" s="472">
        <f t="shared" si="865"/>
        <v>0</v>
      </c>
      <c r="G2585" s="472">
        <f t="shared" si="866"/>
        <v>0</v>
      </c>
    </row>
    <row r="2586" spans="1:7" ht="19.899999999999999" customHeight="1">
      <c r="A2586" s="505"/>
      <c r="B2586" s="466"/>
      <c r="C2586" s="163"/>
      <c r="D2586" s="163"/>
      <c r="E2586" s="473"/>
      <c r="F2586" s="458"/>
      <c r="G2586" s="507"/>
    </row>
    <row r="2587" spans="1:7" ht="19.899999999999999" customHeight="1">
      <c r="A2587" s="505"/>
      <c r="B2587" s="163"/>
      <c r="C2587" s="455" t="s">
        <v>1003</v>
      </c>
      <c r="D2587" s="458" t="s">
        <v>1000</v>
      </c>
      <c r="E2587" s="524">
        <f>SUMPRODUCT(D2576:D2585,E2576:E2585)</f>
        <v>0</v>
      </c>
      <c r="F2587" s="458" t="s">
        <v>1004</v>
      </c>
      <c r="G2587" s="525">
        <f>SUM(G2576:G2585)</f>
        <v>0</v>
      </c>
    </row>
    <row r="2588" spans="1:7" ht="19.899999999999999" customHeight="1">
      <c r="A2588" s="505"/>
      <c r="B2588" s="466"/>
      <c r="C2588" s="474"/>
      <c r="D2588" s="473"/>
      <c r="E2588" s="460"/>
      <c r="F2588" s="458"/>
      <c r="G2588" s="511"/>
    </row>
    <row r="2589" spans="1:7" ht="19.899999999999999" customHeight="1">
      <c r="A2589" s="512"/>
      <c r="B2589" s="466"/>
      <c r="C2589" s="458" t="s">
        <v>1005</v>
      </c>
      <c r="D2589" s="475"/>
      <c r="E2589" s="476" t="str">
        <f ca="1">G2571&amp;"/día"</f>
        <v>m/día</v>
      </c>
      <c r="F2589" s="452"/>
      <c r="G2589" s="507"/>
    </row>
    <row r="2590" spans="1:7" ht="19.899999999999999" customHeight="1">
      <c r="A2590" s="505"/>
      <c r="B2590" s="466"/>
      <c r="C2590" s="163"/>
      <c r="D2590" s="459"/>
      <c r="E2590" s="460"/>
      <c r="F2590" s="458"/>
      <c r="G2590" s="507"/>
    </row>
    <row r="2591" spans="1:7" ht="19.899999999999999" customHeight="1">
      <c r="A2591" s="677" t="s">
        <v>575</v>
      </c>
      <c r="B2591" s="678"/>
      <c r="C2591" s="679" t="s">
        <v>0</v>
      </c>
      <c r="D2591" s="691" t="s">
        <v>1864</v>
      </c>
      <c r="E2591" s="691" t="s">
        <v>1863</v>
      </c>
      <c r="F2591" s="683" t="s">
        <v>1006</v>
      </c>
      <c r="G2591" s="685" t="s">
        <v>25</v>
      </c>
    </row>
    <row r="2592" spans="1:7" ht="19.899999999999999" customHeight="1">
      <c r="A2592" s="477" t="s">
        <v>576</v>
      </c>
      <c r="B2592" s="477" t="s">
        <v>577</v>
      </c>
      <c r="C2592" s="680"/>
      <c r="D2592" s="692"/>
      <c r="E2592" s="682"/>
      <c r="F2592" s="684"/>
      <c r="G2592" s="686"/>
    </row>
    <row r="2593" spans="1:7" ht="19.899999999999999" customHeight="1">
      <c r="A2593" s="513"/>
      <c r="B2593" s="163"/>
      <c r="C2593" s="455" t="s">
        <v>1007</v>
      </c>
      <c r="D2593" s="460"/>
      <c r="E2593" s="460"/>
      <c r="F2593" s="163"/>
      <c r="G2593" s="514"/>
    </row>
    <row r="2594" spans="1:7" ht="19.899999999999999" customHeight="1">
      <c r="A2594" s="515">
        <f t="shared" ref="A2594:A2602" si="867">IFERROR(VLOOKUP(C2594,T_Insumos,4,FALSE),0)</f>
        <v>0</v>
      </c>
      <c r="B2594" s="478">
        <f t="shared" ref="B2594:B2602" si="868">IFERROR(VLOOKUP(C2594,T_Insumos,5,FALSE),0)</f>
        <v>0</v>
      </c>
      <c r="C2594" s="469"/>
      <c r="D2594" s="479">
        <f t="shared" ref="D2594:D2602" si="869">IFERROR(VLOOKUP(C2594,T_Insumos,3,FALSE),0)</f>
        <v>0</v>
      </c>
      <c r="E2594" s="472">
        <f>D2594*$G$23</f>
        <v>0</v>
      </c>
      <c r="F2594" s="475">
        <f>IF(C2594="",0,IFERROR(VLOOKUP(COUNTIF($A$1:A2594,"ANALISIS DE PRECIOS"),T_Rendimiento_Equipo,5,FALSE),0))</f>
        <v>0</v>
      </c>
      <c r="G2594" s="472">
        <f>IFERROR(ROUND(E2594/F2594,2),0)</f>
        <v>0</v>
      </c>
    </row>
    <row r="2595" spans="1:7" ht="19.899999999999999" customHeight="1">
      <c r="A2595" s="515">
        <f t="shared" si="867"/>
        <v>0</v>
      </c>
      <c r="B2595" s="478">
        <f t="shared" si="868"/>
        <v>0</v>
      </c>
      <c r="C2595" s="469"/>
      <c r="D2595" s="479">
        <f t="shared" si="869"/>
        <v>0</v>
      </c>
      <c r="E2595" s="472">
        <f t="shared" ref="E2595:E2602" si="870">D2595*$G$23</f>
        <v>0</v>
      </c>
      <c r="F2595" s="475">
        <f>IF(C2595="",0,IFERROR(VLOOKUP(COUNTIF($A$1:A2595,"ANALISIS DE PRECIOS"),T_Rendimiento_Equipo,5,FALSE),0))</f>
        <v>0</v>
      </c>
      <c r="G2595" s="472">
        <f t="shared" ref="G2595:G2602" si="871">IFERROR(ROUND(E2595/F2595,2),0)</f>
        <v>0</v>
      </c>
    </row>
    <row r="2596" spans="1:7" ht="19.899999999999999" customHeight="1">
      <c r="A2596" s="515">
        <f t="shared" si="867"/>
        <v>0</v>
      </c>
      <c r="B2596" s="478">
        <f t="shared" si="868"/>
        <v>0</v>
      </c>
      <c r="C2596" s="480"/>
      <c r="D2596" s="479">
        <f t="shared" si="869"/>
        <v>0</v>
      </c>
      <c r="E2596" s="472">
        <f t="shared" si="870"/>
        <v>0</v>
      </c>
      <c r="F2596" s="475">
        <f>IF(C2596="",0,IFERROR(VLOOKUP(COUNTIF($A$1:A2596,"ANALISIS DE PRECIOS"),T_Rendimiento_Equipo,5,FALSE),0))</f>
        <v>0</v>
      </c>
      <c r="G2596" s="472">
        <f t="shared" si="871"/>
        <v>0</v>
      </c>
    </row>
    <row r="2597" spans="1:7" ht="19.899999999999999" customHeight="1">
      <c r="A2597" s="515">
        <f t="shared" si="867"/>
        <v>0</v>
      </c>
      <c r="B2597" s="478">
        <f t="shared" si="868"/>
        <v>0</v>
      </c>
      <c r="C2597" s="480"/>
      <c r="D2597" s="479">
        <f t="shared" si="869"/>
        <v>0</v>
      </c>
      <c r="E2597" s="472">
        <f t="shared" si="870"/>
        <v>0</v>
      </c>
      <c r="F2597" s="475">
        <f>IF(C2597="",0,IFERROR(VLOOKUP(COUNTIF($A$1:A2597,"ANALISIS DE PRECIOS"),T_Rendimiento_Equipo,5,FALSE),0))</f>
        <v>0</v>
      </c>
      <c r="G2597" s="472">
        <f t="shared" si="871"/>
        <v>0</v>
      </c>
    </row>
    <row r="2598" spans="1:7" ht="19.899999999999999" customHeight="1">
      <c r="A2598" s="515">
        <f t="shared" si="867"/>
        <v>0</v>
      </c>
      <c r="B2598" s="478">
        <f t="shared" si="868"/>
        <v>0</v>
      </c>
      <c r="C2598" s="480"/>
      <c r="D2598" s="479">
        <f t="shared" si="869"/>
        <v>0</v>
      </c>
      <c r="E2598" s="472">
        <f t="shared" si="870"/>
        <v>0</v>
      </c>
      <c r="F2598" s="475">
        <f>IF(C2598="",0,IFERROR(VLOOKUP(COUNTIF($A$1:A2598,"ANALISIS DE PRECIOS"),T_Rendimiento_Equipo,5,FALSE),0))</f>
        <v>0</v>
      </c>
      <c r="G2598" s="472">
        <f t="shared" si="871"/>
        <v>0</v>
      </c>
    </row>
    <row r="2599" spans="1:7" ht="19.899999999999999" customHeight="1">
      <c r="A2599" s="515">
        <f t="shared" si="867"/>
        <v>0</v>
      </c>
      <c r="B2599" s="478">
        <f t="shared" si="868"/>
        <v>0</v>
      </c>
      <c r="C2599" s="480"/>
      <c r="D2599" s="479">
        <f t="shared" si="869"/>
        <v>0</v>
      </c>
      <c r="E2599" s="472">
        <f t="shared" si="870"/>
        <v>0</v>
      </c>
      <c r="F2599" s="475">
        <f>IF(C2599="",0,IFERROR(VLOOKUP(COUNTIF($A$1:A2599,"ANALISIS DE PRECIOS"),T_Rendimiento_Equipo,5,FALSE),0))</f>
        <v>0</v>
      </c>
      <c r="G2599" s="472">
        <f t="shared" si="871"/>
        <v>0</v>
      </c>
    </row>
    <row r="2600" spans="1:7" ht="19.899999999999999" customHeight="1">
      <c r="A2600" s="515">
        <f t="shared" si="867"/>
        <v>0</v>
      </c>
      <c r="B2600" s="478">
        <f t="shared" si="868"/>
        <v>0</v>
      </c>
      <c r="C2600" s="480"/>
      <c r="D2600" s="479">
        <f t="shared" si="869"/>
        <v>0</v>
      </c>
      <c r="E2600" s="472">
        <f t="shared" si="870"/>
        <v>0</v>
      </c>
      <c r="F2600" s="475">
        <f>IF(C2600="",0,IFERROR(VLOOKUP(COUNTIF($A$1:A2600,"ANALISIS DE PRECIOS"),T_Rendimiento_Equipo,5,FALSE),0))</f>
        <v>0</v>
      </c>
      <c r="G2600" s="472">
        <f t="shared" si="871"/>
        <v>0</v>
      </c>
    </row>
    <row r="2601" spans="1:7" ht="19.899999999999999" customHeight="1">
      <c r="A2601" s="515">
        <f t="shared" si="867"/>
        <v>0</v>
      </c>
      <c r="B2601" s="478">
        <f t="shared" si="868"/>
        <v>0</v>
      </c>
      <c r="C2601" s="480"/>
      <c r="D2601" s="479">
        <f t="shared" si="869"/>
        <v>0</v>
      </c>
      <c r="E2601" s="472">
        <f t="shared" si="870"/>
        <v>0</v>
      </c>
      <c r="F2601" s="475">
        <f>IF(C2601="",0,IFERROR(VLOOKUP(COUNTIF($A$1:A2601,"ANALISIS DE PRECIOS"),T_Rendimiento_Equipo,5,FALSE),0))</f>
        <v>0</v>
      </c>
      <c r="G2601" s="472">
        <f t="shared" si="871"/>
        <v>0</v>
      </c>
    </row>
    <row r="2602" spans="1:7" ht="19.899999999999999" customHeight="1">
      <c r="A2602" s="515">
        <f t="shared" si="867"/>
        <v>0</v>
      </c>
      <c r="B2602" s="478">
        <f t="shared" si="868"/>
        <v>0</v>
      </c>
      <c r="C2602" s="469"/>
      <c r="D2602" s="479">
        <f t="shared" si="869"/>
        <v>0</v>
      </c>
      <c r="E2602" s="472">
        <f t="shared" si="870"/>
        <v>0</v>
      </c>
      <c r="F2602" s="475">
        <f>IF(C2602="",0,IFERROR(VLOOKUP(COUNTIF($A$1:A2602,"ANALISIS DE PRECIOS"),T_Rendimiento_Equipo,5,FALSE),0))</f>
        <v>0</v>
      </c>
      <c r="G2602" s="472">
        <f t="shared" si="871"/>
        <v>0</v>
      </c>
    </row>
    <row r="2603" spans="1:7" ht="19.899999999999999" customHeight="1">
      <c r="A2603" s="516"/>
      <c r="B2603" s="459"/>
      <c r="C2603" s="163"/>
      <c r="D2603" s="459"/>
      <c r="E2603" s="460"/>
      <c r="F2603" s="650" t="s">
        <v>26</v>
      </c>
      <c r="G2603" s="517">
        <f>SUBTOTAL(9,G2594:G2602)</f>
        <v>0</v>
      </c>
    </row>
    <row r="2604" spans="1:7" ht="19.899999999999999" customHeight="1">
      <c r="A2604" s="513"/>
      <c r="B2604" s="163"/>
      <c r="C2604" s="455" t="s">
        <v>712</v>
      </c>
      <c r="D2604" s="459"/>
      <c r="E2604" s="460"/>
      <c r="F2604" s="461"/>
      <c r="G2604" s="514"/>
    </row>
    <row r="2605" spans="1:7" ht="19.899999999999999" customHeight="1">
      <c r="A2605" s="677" t="s">
        <v>575</v>
      </c>
      <c r="B2605" s="678"/>
      <c r="C2605" s="679" t="s">
        <v>0</v>
      </c>
      <c r="D2605" s="681" t="s">
        <v>23</v>
      </c>
      <c r="E2605" s="681" t="s">
        <v>1830</v>
      </c>
      <c r="F2605" s="683" t="s">
        <v>1006</v>
      </c>
      <c r="G2605" s="685" t="s">
        <v>25</v>
      </c>
    </row>
    <row r="2606" spans="1:7" ht="19.899999999999999" customHeight="1">
      <c r="A2606" s="477" t="s">
        <v>576</v>
      </c>
      <c r="B2606" s="477" t="s">
        <v>577</v>
      </c>
      <c r="C2606" s="680"/>
      <c r="D2606" s="682"/>
      <c r="E2606" s="682"/>
      <c r="F2606" s="684"/>
      <c r="G2606" s="686"/>
    </row>
    <row r="2607" spans="1:7" ht="19.899999999999999" customHeight="1">
      <c r="A2607" s="515">
        <f t="shared" ref="A2607:A2613" si="872">IFERROR(VLOOKUP(C2607,T_Insumos,4,FALSE),0)</f>
        <v>0</v>
      </c>
      <c r="B2607" s="478">
        <f t="shared" ref="B2607:B2613" si="873">IFERROR(VLOOKUP(C2607,T_Insumos,5,FALSE),0)</f>
        <v>0</v>
      </c>
      <c r="C2607" s="482"/>
      <c r="D2607" s="475"/>
      <c r="E2607" s="472">
        <f t="shared" ref="E2607:E2613" si="874">IFERROR(VLOOKUP(C2607,T_Insumos,3,FALSE),0)</f>
        <v>0</v>
      </c>
      <c r="F2607" s="475">
        <f>IF(C2607="",0,IFERROR(VLOOKUP(COUNTIF($A$1:A2607,"ANALISIS DE PRECIOS"),T_Rendimiento_Equipo,5,FALSE),0))</f>
        <v>0</v>
      </c>
      <c r="G2607" s="472">
        <f>IFERROR(ROUND(D2607*E2607/F2607,2),0)</f>
        <v>0</v>
      </c>
    </row>
    <row r="2608" spans="1:7" ht="19.899999999999999" customHeight="1">
      <c r="A2608" s="515">
        <f t="shared" si="872"/>
        <v>0</v>
      </c>
      <c r="B2608" s="478">
        <f t="shared" si="873"/>
        <v>0</v>
      </c>
      <c r="C2608" s="469"/>
      <c r="D2608" s="475"/>
      <c r="E2608" s="472">
        <f t="shared" si="874"/>
        <v>0</v>
      </c>
      <c r="F2608" s="475">
        <f>IF(C2608="",0,IFERROR(VLOOKUP(COUNTIF($A$1:A2608,"ANALISIS DE PRECIOS"),T_Rendimiento_Equipo,5,FALSE),0))</f>
        <v>0</v>
      </c>
      <c r="G2608" s="472">
        <f t="shared" ref="G2608:G2613" si="875">IFERROR(ROUND(D2608*E2608/F2608,2),0)</f>
        <v>0</v>
      </c>
    </row>
    <row r="2609" spans="1:7" ht="19.899999999999999" customHeight="1">
      <c r="A2609" s="515">
        <f t="shared" si="872"/>
        <v>0</v>
      </c>
      <c r="B2609" s="478">
        <f t="shared" si="873"/>
        <v>0</v>
      </c>
      <c r="C2609" s="469"/>
      <c r="D2609" s="475"/>
      <c r="E2609" s="472">
        <f t="shared" si="874"/>
        <v>0</v>
      </c>
      <c r="F2609" s="475">
        <f>IF(C2609="",0,IFERROR(VLOOKUP(COUNTIF($A$1:A2609,"ANALISIS DE PRECIOS"),T_Rendimiento_Equipo,5,FALSE),0))</f>
        <v>0</v>
      </c>
      <c r="G2609" s="472">
        <f t="shared" si="875"/>
        <v>0</v>
      </c>
    </row>
    <row r="2610" spans="1:7" ht="19.899999999999999" customHeight="1">
      <c r="A2610" s="515">
        <f t="shared" si="872"/>
        <v>0</v>
      </c>
      <c r="B2610" s="478">
        <f t="shared" si="873"/>
        <v>0</v>
      </c>
      <c r="C2610" s="469"/>
      <c r="D2610" s="475"/>
      <c r="E2610" s="472">
        <f t="shared" si="874"/>
        <v>0</v>
      </c>
      <c r="F2610" s="475">
        <f>IF(C2610="",0,IFERROR(VLOOKUP(COUNTIF($A$1:A2610,"ANALISIS DE PRECIOS"),T_Rendimiento_Equipo,5,FALSE),0))</f>
        <v>0</v>
      </c>
      <c r="G2610" s="472">
        <f t="shared" si="875"/>
        <v>0</v>
      </c>
    </row>
    <row r="2611" spans="1:7" ht="19.899999999999999" customHeight="1">
      <c r="A2611" s="515">
        <f t="shared" si="872"/>
        <v>0</v>
      </c>
      <c r="B2611" s="478">
        <f t="shared" si="873"/>
        <v>0</v>
      </c>
      <c r="C2611" s="469"/>
      <c r="D2611" s="475"/>
      <c r="E2611" s="472">
        <f t="shared" si="874"/>
        <v>0</v>
      </c>
      <c r="F2611" s="475">
        <f>IF(C2611="",0,IFERROR(VLOOKUP(COUNTIF($A$1:A2611,"ANALISIS DE PRECIOS"),T_Rendimiento_Equipo,5,FALSE),0))</f>
        <v>0</v>
      </c>
      <c r="G2611" s="472">
        <f t="shared" si="875"/>
        <v>0</v>
      </c>
    </row>
    <row r="2612" spans="1:7" ht="19.899999999999999" customHeight="1">
      <c r="A2612" s="515">
        <f t="shared" si="872"/>
        <v>0</v>
      </c>
      <c r="B2612" s="478">
        <f t="shared" si="873"/>
        <v>0</v>
      </c>
      <c r="C2612" s="469"/>
      <c r="D2612" s="483"/>
      <c r="E2612" s="472">
        <f t="shared" si="874"/>
        <v>0</v>
      </c>
      <c r="F2612" s="475">
        <f>IF(C2612="",0,IFERROR(VLOOKUP(COUNTIF($A$1:A2612,"ANALISIS DE PRECIOS"),T_Rendimiento_Equipo,5,FALSE),0))</f>
        <v>0</v>
      </c>
      <c r="G2612" s="472">
        <f t="shared" si="875"/>
        <v>0</v>
      </c>
    </row>
    <row r="2613" spans="1:7" ht="19.899999999999999" customHeight="1">
      <c r="A2613" s="515">
        <f t="shared" si="872"/>
        <v>0</v>
      </c>
      <c r="B2613" s="478">
        <f t="shared" si="873"/>
        <v>0</v>
      </c>
      <c r="C2613" s="478"/>
      <c r="D2613" s="484"/>
      <c r="E2613" s="472">
        <f t="shared" si="874"/>
        <v>0</v>
      </c>
      <c r="F2613" s="475">
        <f>IF(C2613="",0,IFERROR(VLOOKUP(COUNTIF($A$1:A2613,"ANALISIS DE PRECIOS"),T_Rendimiento_Equipo,5,FALSE),0))</f>
        <v>0</v>
      </c>
      <c r="G2613" s="472">
        <f t="shared" si="875"/>
        <v>0</v>
      </c>
    </row>
    <row r="2614" spans="1:7" ht="19.899999999999999" customHeight="1">
      <c r="A2614" s="516"/>
      <c r="B2614" s="459"/>
      <c r="C2614" s="163"/>
      <c r="D2614" s="459"/>
      <c r="E2614" s="460"/>
      <c r="F2614" s="650" t="s">
        <v>27</v>
      </c>
      <c r="G2614" s="518">
        <f>SUBTOTAL(9,G2607:G2613)</f>
        <v>0</v>
      </c>
    </row>
    <row r="2615" spans="1:7" ht="19.899999999999999" customHeight="1">
      <c r="A2615" s="513"/>
      <c r="B2615" s="163"/>
      <c r="C2615" s="455" t="s">
        <v>1013</v>
      </c>
      <c r="D2615" s="459"/>
      <c r="E2615" s="460"/>
      <c r="F2615" s="461"/>
      <c r="G2615" s="514"/>
    </row>
    <row r="2616" spans="1:7" ht="19.899999999999999" customHeight="1">
      <c r="A2616" s="677" t="s">
        <v>575</v>
      </c>
      <c r="B2616" s="678"/>
      <c r="C2616" s="679" t="s">
        <v>0</v>
      </c>
      <c r="D2616" s="679" t="s">
        <v>1865</v>
      </c>
      <c r="E2616" s="681" t="s">
        <v>23</v>
      </c>
      <c r="F2616" s="683" t="s">
        <v>24</v>
      </c>
      <c r="G2616" s="685" t="s">
        <v>25</v>
      </c>
    </row>
    <row r="2617" spans="1:7" ht="19.899999999999999" customHeight="1">
      <c r="A2617" s="477" t="s">
        <v>576</v>
      </c>
      <c r="B2617" s="477" t="s">
        <v>577</v>
      </c>
      <c r="C2617" s="680"/>
      <c r="D2617" s="680"/>
      <c r="E2617" s="682"/>
      <c r="F2617" s="684"/>
      <c r="G2617" s="686"/>
    </row>
    <row r="2618" spans="1:7" ht="19.899999999999999" customHeight="1">
      <c r="A2618" s="515">
        <f t="shared" ref="A2618:A2628" si="876">IFERROR(VLOOKUP(C2618,T_Insumos,4,FALSE),0)</f>
        <v>0</v>
      </c>
      <c r="B2618" s="478">
        <f t="shared" ref="B2618:B2628" si="877">IFERROR(VLOOKUP(C2618,T_Insumos,5,FALSE),0)</f>
        <v>0</v>
      </c>
      <c r="C2618" s="478"/>
      <c r="D2618" s="526">
        <f t="shared" ref="D2618:D2628" si="878">IFERROR(VLOOKUP(C2618,T_Insumos,2,FALSE),0)</f>
        <v>0</v>
      </c>
      <c r="E2618" s="470"/>
      <c r="F2618" s="472">
        <f t="shared" ref="F2618:F2628" si="879">IFERROR(VLOOKUP(C2618,T_Insumos,3,FALSE),0)</f>
        <v>0</v>
      </c>
      <c r="G2618" s="472">
        <f>ROUND(E2618*F2618,2)</f>
        <v>0</v>
      </c>
    </row>
    <row r="2619" spans="1:7" ht="19.899999999999999" customHeight="1">
      <c r="A2619" s="515">
        <f t="shared" si="876"/>
        <v>0</v>
      </c>
      <c r="B2619" s="478">
        <f t="shared" si="877"/>
        <v>0</v>
      </c>
      <c r="C2619" s="478"/>
      <c r="D2619" s="526">
        <f t="shared" si="878"/>
        <v>0</v>
      </c>
      <c r="E2619" s="470"/>
      <c r="F2619" s="472">
        <f t="shared" si="879"/>
        <v>0</v>
      </c>
      <c r="G2619" s="472">
        <f t="shared" ref="G2619:G2628" si="880">ROUND(E2619*F2619,2)</f>
        <v>0</v>
      </c>
    </row>
    <row r="2620" spans="1:7" ht="19.899999999999999" customHeight="1">
      <c r="A2620" s="515">
        <f t="shared" si="876"/>
        <v>0</v>
      </c>
      <c r="B2620" s="478">
        <f t="shared" si="877"/>
        <v>0</v>
      </c>
      <c r="C2620" s="478"/>
      <c r="D2620" s="526">
        <f t="shared" si="878"/>
        <v>0</v>
      </c>
      <c r="E2620" s="470"/>
      <c r="F2620" s="472">
        <f t="shared" si="879"/>
        <v>0</v>
      </c>
      <c r="G2620" s="472">
        <f t="shared" si="880"/>
        <v>0</v>
      </c>
    </row>
    <row r="2621" spans="1:7" ht="19.899999999999999" customHeight="1">
      <c r="A2621" s="515">
        <f t="shared" si="876"/>
        <v>0</v>
      </c>
      <c r="B2621" s="478">
        <f t="shared" si="877"/>
        <v>0</v>
      </c>
      <c r="C2621" s="478"/>
      <c r="D2621" s="526">
        <f t="shared" si="878"/>
        <v>0</v>
      </c>
      <c r="E2621" s="470"/>
      <c r="F2621" s="472">
        <f t="shared" si="879"/>
        <v>0</v>
      </c>
      <c r="G2621" s="472">
        <f t="shared" si="880"/>
        <v>0</v>
      </c>
    </row>
    <row r="2622" spans="1:7" ht="19.899999999999999" customHeight="1">
      <c r="A2622" s="515">
        <f t="shared" si="876"/>
        <v>0</v>
      </c>
      <c r="B2622" s="478">
        <f t="shared" si="877"/>
        <v>0</v>
      </c>
      <c r="C2622" s="478"/>
      <c r="D2622" s="526">
        <f t="shared" si="878"/>
        <v>0</v>
      </c>
      <c r="E2622" s="470"/>
      <c r="F2622" s="472">
        <f t="shared" si="879"/>
        <v>0</v>
      </c>
      <c r="G2622" s="472">
        <f t="shared" si="880"/>
        <v>0</v>
      </c>
    </row>
    <row r="2623" spans="1:7" ht="19.899999999999999" customHeight="1">
      <c r="A2623" s="515">
        <f t="shared" si="876"/>
        <v>0</v>
      </c>
      <c r="B2623" s="478">
        <f t="shared" si="877"/>
        <v>0</v>
      </c>
      <c r="C2623" s="478"/>
      <c r="D2623" s="526">
        <f t="shared" si="878"/>
        <v>0</v>
      </c>
      <c r="E2623" s="470"/>
      <c r="F2623" s="472">
        <f t="shared" si="879"/>
        <v>0</v>
      </c>
      <c r="G2623" s="472">
        <f t="shared" si="880"/>
        <v>0</v>
      </c>
    </row>
    <row r="2624" spans="1:7" ht="19.899999999999999" customHeight="1">
      <c r="A2624" s="515">
        <f t="shared" si="876"/>
        <v>0</v>
      </c>
      <c r="B2624" s="478">
        <f t="shared" si="877"/>
        <v>0</v>
      </c>
      <c r="C2624" s="478"/>
      <c r="D2624" s="526">
        <f t="shared" si="878"/>
        <v>0</v>
      </c>
      <c r="E2624" s="470"/>
      <c r="F2624" s="472">
        <f t="shared" si="879"/>
        <v>0</v>
      </c>
      <c r="G2624" s="472">
        <f t="shared" si="880"/>
        <v>0</v>
      </c>
    </row>
    <row r="2625" spans="1:7" ht="19.899999999999999" customHeight="1">
      <c r="A2625" s="515">
        <f t="shared" si="876"/>
        <v>0</v>
      </c>
      <c r="B2625" s="478">
        <f t="shared" si="877"/>
        <v>0</v>
      </c>
      <c r="C2625" s="478"/>
      <c r="D2625" s="526">
        <f t="shared" si="878"/>
        <v>0</v>
      </c>
      <c r="E2625" s="470"/>
      <c r="F2625" s="472">
        <f t="shared" si="879"/>
        <v>0</v>
      </c>
      <c r="G2625" s="472">
        <f t="shared" si="880"/>
        <v>0</v>
      </c>
    </row>
    <row r="2626" spans="1:7" ht="19.899999999999999" customHeight="1">
      <c r="A2626" s="515">
        <f t="shared" si="876"/>
        <v>0</v>
      </c>
      <c r="B2626" s="478">
        <f t="shared" si="877"/>
        <v>0</v>
      </c>
      <c r="C2626" s="478"/>
      <c r="D2626" s="526">
        <f t="shared" si="878"/>
        <v>0</v>
      </c>
      <c r="E2626" s="470"/>
      <c r="F2626" s="472">
        <f t="shared" si="879"/>
        <v>0</v>
      </c>
      <c r="G2626" s="472">
        <f t="shared" si="880"/>
        <v>0</v>
      </c>
    </row>
    <row r="2627" spans="1:7" ht="19.899999999999999" customHeight="1">
      <c r="A2627" s="515">
        <f t="shared" si="876"/>
        <v>0</v>
      </c>
      <c r="B2627" s="478">
        <f t="shared" si="877"/>
        <v>0</v>
      </c>
      <c r="C2627" s="478"/>
      <c r="D2627" s="526">
        <f t="shared" si="878"/>
        <v>0</v>
      </c>
      <c r="E2627" s="470"/>
      <c r="F2627" s="472">
        <f t="shared" si="879"/>
        <v>0</v>
      </c>
      <c r="G2627" s="472">
        <f t="shared" si="880"/>
        <v>0</v>
      </c>
    </row>
    <row r="2628" spans="1:7" ht="19.899999999999999" customHeight="1">
      <c r="A2628" s="515">
        <f t="shared" si="876"/>
        <v>0</v>
      </c>
      <c r="B2628" s="478">
        <f t="shared" si="877"/>
        <v>0</v>
      </c>
      <c r="C2628" s="478"/>
      <c r="D2628" s="526">
        <f t="shared" si="878"/>
        <v>0</v>
      </c>
      <c r="E2628" s="470"/>
      <c r="F2628" s="472">
        <f t="shared" si="879"/>
        <v>0</v>
      </c>
      <c r="G2628" s="472">
        <f t="shared" si="880"/>
        <v>0</v>
      </c>
    </row>
    <row r="2629" spans="1:7" ht="19.899999999999999" customHeight="1">
      <c r="A2629" s="513"/>
      <c r="B2629" s="163"/>
      <c r="C2629" s="163"/>
      <c r="D2629" s="459"/>
      <c r="E2629" s="460"/>
      <c r="F2629" s="650" t="s">
        <v>28</v>
      </c>
      <c r="G2629" s="518">
        <f>SUBTOTAL(9,G2618:G2628)</f>
        <v>0</v>
      </c>
    </row>
    <row r="2630" spans="1:7" ht="19.899999999999999" customHeight="1">
      <c r="A2630" s="513"/>
      <c r="B2630" s="163"/>
      <c r="C2630" s="455" t="s">
        <v>1014</v>
      </c>
      <c r="D2630" s="459"/>
      <c r="E2630" s="460"/>
      <c r="F2630" s="461"/>
      <c r="G2630" s="514"/>
    </row>
    <row r="2631" spans="1:7" ht="19.899999999999999" customHeight="1">
      <c r="A2631" s="677" t="s">
        <v>575</v>
      </c>
      <c r="B2631" s="678"/>
      <c r="C2631" s="679" t="s">
        <v>0</v>
      </c>
      <c r="D2631" s="679" t="s">
        <v>1865</v>
      </c>
      <c r="E2631" s="681" t="s">
        <v>23</v>
      </c>
      <c r="F2631" s="683" t="s">
        <v>24</v>
      </c>
      <c r="G2631" s="685" t="s">
        <v>25</v>
      </c>
    </row>
    <row r="2632" spans="1:7" ht="19.899999999999999" customHeight="1">
      <c r="A2632" s="477" t="s">
        <v>576</v>
      </c>
      <c r="B2632" s="477" t="s">
        <v>577</v>
      </c>
      <c r="C2632" s="680"/>
      <c r="D2632" s="680"/>
      <c r="E2632" s="682"/>
      <c r="F2632" s="684"/>
      <c r="G2632" s="686"/>
    </row>
    <row r="2633" spans="1:7" ht="19.899999999999999" customHeight="1">
      <c r="A2633" s="515">
        <f>IFERROR(VLOOKUP(C2633,T_Insumos,4,FALSE),0)</f>
        <v>0</v>
      </c>
      <c r="B2633" s="478">
        <f>IFERROR(VLOOKUP(C2633,T_Insumos,5,FALSE),0)</f>
        <v>0</v>
      </c>
      <c r="C2633" s="469"/>
      <c r="D2633" s="526">
        <f>IF(C2633=0,0,"$/tnkm")</f>
        <v>0</v>
      </c>
      <c r="E2633" s="470"/>
      <c r="F2633" s="472">
        <f>IFERROR(VLOOKUP(C2633,T_Insumos,3,FALSE),0)</f>
        <v>0</v>
      </c>
      <c r="G2633" s="472">
        <f>ROUND(E2633*F2633,2)</f>
        <v>0</v>
      </c>
    </row>
    <row r="2634" spans="1:7" ht="19.899999999999999" customHeight="1">
      <c r="A2634" s="515">
        <f>IFERROR(VLOOKUP(C2634,T_Insumos,4,FALSE),0)</f>
        <v>0</v>
      </c>
      <c r="B2634" s="478">
        <f>IFERROR(VLOOKUP(C2634,T_Insumos,5,FALSE),0)</f>
        <v>0</v>
      </c>
      <c r="C2634" s="469"/>
      <c r="D2634" s="526">
        <f>IF(C2634=0,0,"$/tnkm")</f>
        <v>0</v>
      </c>
      <c r="E2634" s="486"/>
      <c r="F2634" s="472">
        <f>IFERROR(VLOOKUP(C2634,T_Insumos,3,FALSE),0)</f>
        <v>0</v>
      </c>
      <c r="G2634" s="472">
        <f t="shared" ref="G2634" si="881">ROUND(E2634*F2634,2)</f>
        <v>0</v>
      </c>
    </row>
    <row r="2635" spans="1:7" ht="19.899999999999999" customHeight="1">
      <c r="A2635" s="513"/>
      <c r="B2635" s="163"/>
      <c r="C2635" s="163"/>
      <c r="D2635" s="459"/>
      <c r="E2635" s="460"/>
      <c r="F2635" s="650" t="s">
        <v>1015</v>
      </c>
      <c r="G2635" s="518">
        <f>SUBTOTAL(9,G2633:G2634)</f>
        <v>0</v>
      </c>
    </row>
    <row r="2636" spans="1:7" ht="19.899999999999999" customHeight="1">
      <c r="A2636" s="516"/>
      <c r="B2636" s="459"/>
      <c r="C2636" s="163"/>
      <c r="D2636" s="459"/>
      <c r="E2636" s="460"/>
      <c r="F2636" s="461"/>
      <c r="G2636" s="514"/>
    </row>
    <row r="2637" spans="1:7" ht="19.899999999999999" customHeight="1">
      <c r="A2637" s="574" t="str">
        <f>B2571</f>
        <v>6.1.2</v>
      </c>
      <c r="B2637" s="571" t="str">
        <f ca="1">C2571</f>
        <v>Limpieza y preparación del terreno</v>
      </c>
      <c r="C2637" s="459"/>
      <c r="D2637" s="459" t="s">
        <v>1831</v>
      </c>
      <c r="E2637" s="572"/>
      <c r="F2637" s="573" t="str">
        <f ca="1">"$/"&amp;G2571</f>
        <v>$/m</v>
      </c>
      <c r="G2637" s="523">
        <f>SUBTOTAL(9,G2594:G2636)</f>
        <v>0</v>
      </c>
    </row>
    <row r="2638" spans="1:7" ht="19.899999999999999" customHeight="1">
      <c r="A2638" s="519"/>
      <c r="B2638" s="520"/>
      <c r="C2638" s="521"/>
      <c r="D2638" s="521" t="s">
        <v>2041</v>
      </c>
      <c r="E2638" s="522"/>
      <c r="F2638" s="575" t="str">
        <f ca="1">"$/"&amp;G2571</f>
        <v>$/m</v>
      </c>
      <c r="G2638" s="523">
        <f>ROUND(G2637*Coeficiente_Paso,2)</f>
        <v>0</v>
      </c>
    </row>
    <row r="2639" spans="1:7" ht="19.899999999999999" customHeight="1">
      <c r="A2639" s="163"/>
      <c r="B2639" s="163"/>
      <c r="C2639" s="163"/>
      <c r="D2639" s="163"/>
      <c r="E2639" s="163"/>
      <c r="F2639" s="163"/>
      <c r="G2639" s="163"/>
    </row>
    <row r="2640" spans="1:7" ht="19.899999999999999" customHeight="1">
      <c r="A2640" s="687" t="s">
        <v>30</v>
      </c>
      <c r="B2640" s="688"/>
      <c r="C2640" s="688"/>
      <c r="D2640" s="688"/>
      <c r="E2640" s="688"/>
      <c r="F2640" s="688"/>
      <c r="G2640" s="689"/>
    </row>
    <row r="2641" spans="1:7" ht="19.899999999999999" customHeight="1">
      <c r="A2641" s="502" t="s">
        <v>710</v>
      </c>
      <c r="B2641" s="453" t="str">
        <f>Comitente</f>
        <v>DEPARTAMENTO DE HIDRAULICA</v>
      </c>
      <c r="C2641" s="454"/>
      <c r="D2641" s="455"/>
      <c r="E2641" s="455"/>
      <c r="F2641" s="456"/>
      <c r="G2641" s="503"/>
    </row>
    <row r="2642" spans="1:7" ht="19.899999999999999" customHeight="1">
      <c r="A2642" s="502" t="s">
        <v>711</v>
      </c>
      <c r="B2642" s="453">
        <f>Contratista</f>
        <v>0</v>
      </c>
      <c r="C2642" s="457"/>
      <c r="D2642" s="457"/>
      <c r="E2642" s="457"/>
      <c r="F2642" s="453"/>
      <c r="G2642" s="504"/>
    </row>
    <row r="2643" spans="1:7" ht="19.899999999999999" customHeight="1">
      <c r="A2643" s="502" t="s">
        <v>20</v>
      </c>
      <c r="B2643" s="453" t="str">
        <f>Obra</f>
        <v>MEJORA DE LA RED DE RIEGO DEL VALLE DE JÁCHAL</v>
      </c>
      <c r="C2643" s="457"/>
      <c r="D2643" s="457"/>
      <c r="E2643" s="457"/>
      <c r="F2643" s="453" t="s">
        <v>31</v>
      </c>
      <c r="G2643" s="504" t="str">
        <f>Fecha_Base</f>
        <v>XX/07/2020</v>
      </c>
    </row>
    <row r="2644" spans="1:7" ht="19.899999999999999" customHeight="1">
      <c r="A2644" s="505" t="s">
        <v>709</v>
      </c>
      <c r="B2644" s="458" t="str">
        <f>Ubicación</f>
        <v>JACHAL</v>
      </c>
      <c r="C2644" s="458"/>
      <c r="D2644" s="459"/>
      <c r="E2644" s="460"/>
      <c r="F2644" s="461"/>
      <c r="G2644" s="506"/>
    </row>
    <row r="2645" spans="1:7" ht="19.899999999999999" customHeight="1">
      <c r="A2645" s="505" t="s">
        <v>32</v>
      </c>
      <c r="B2645" s="462">
        <f>IFERROR(VALUE(LEFT(B2646,FIND(".",B2646)-1)),"")</f>
        <v>6</v>
      </c>
      <c r="C2645" s="163" t="str">
        <f ca="1">IFERROR(VLOOKUP(B2645,T_Computo_Presupuesto,2,FALSE),0)</f>
        <v>CANAL DEL NORTE</v>
      </c>
      <c r="D2645" s="163"/>
      <c r="E2645" s="460"/>
      <c r="F2645" s="461"/>
      <c r="G2645" s="506"/>
    </row>
    <row r="2646" spans="1:7" ht="19.899999999999999" customHeight="1">
      <c r="A2646" s="505" t="s">
        <v>21</v>
      </c>
      <c r="B2646" s="463" t="str">
        <f>IFERROR(VLOOKUP(COUNTIF($A$1:A2646,"ANALISIS DE PRECIOS"),T_NumeroItem,2,FALSE),"")</f>
        <v>6.1.3</v>
      </c>
      <c r="C2646" s="690" t="str">
        <f ca="1">IFERROR(VLOOKUP(B2646,T_Computo_Presupuesto,2,FALSE),0)</f>
        <v>Excavación</v>
      </c>
      <c r="D2646" s="690"/>
      <c r="E2646" s="690"/>
      <c r="F2646" s="458" t="s">
        <v>22</v>
      </c>
      <c r="G2646" s="507" t="str">
        <f ca="1">IFERROR(VLOOKUP(B2646,T_Computo_Presupuesto,4,FALSE),0)</f>
        <v>m3</v>
      </c>
    </row>
    <row r="2647" spans="1:7" ht="19.899999999999999" customHeight="1">
      <c r="A2647" s="505"/>
      <c r="B2647" s="458"/>
      <c r="C2647" s="163"/>
      <c r="D2647" s="459"/>
      <c r="E2647" s="460"/>
      <c r="F2647" s="163"/>
      <c r="G2647" s="508"/>
    </row>
    <row r="2648" spans="1:7" ht="19.899999999999999" customHeight="1">
      <c r="A2648" s="509"/>
      <c r="B2648" s="464"/>
      <c r="C2648" s="465" t="s">
        <v>998</v>
      </c>
      <c r="D2648" s="464"/>
      <c r="E2648" s="464"/>
      <c r="F2648" s="464"/>
      <c r="G2648" s="510"/>
    </row>
    <row r="2649" spans="1:7" ht="19.899999999999999" customHeight="1">
      <c r="A2649" s="505"/>
      <c r="B2649" s="466"/>
      <c r="C2649" s="163"/>
      <c r="D2649" s="459"/>
      <c r="E2649" s="460"/>
      <c r="F2649" s="458"/>
      <c r="G2649" s="507"/>
    </row>
    <row r="2650" spans="1:7" ht="19.899999999999999" customHeight="1">
      <c r="A2650" s="505"/>
      <c r="B2650" s="466"/>
      <c r="C2650" s="467" t="s">
        <v>999</v>
      </c>
      <c r="D2650" s="468" t="s">
        <v>23</v>
      </c>
      <c r="E2650" s="468" t="s">
        <v>1000</v>
      </c>
      <c r="F2650" s="468" t="s">
        <v>1001</v>
      </c>
      <c r="G2650" s="467" t="s">
        <v>1002</v>
      </c>
    </row>
    <row r="2651" spans="1:7" ht="19.899999999999999" customHeight="1">
      <c r="A2651" s="505"/>
      <c r="B2651" s="466"/>
      <c r="C2651" s="469"/>
      <c r="D2651" s="470"/>
      <c r="E2651" s="471">
        <f t="shared" ref="E2651:E2660" si="882">IFERROR(VLOOKUP(C2651,T_Equipos,4,FALSE),0)</f>
        <v>0</v>
      </c>
      <c r="F2651" s="472">
        <f t="shared" ref="F2651:F2660" si="883">IFERROR(VLOOKUP(C2651,T_Equipos,5,FALSE),0)</f>
        <v>0</v>
      </c>
      <c r="G2651" s="472">
        <f>ROUND(D2651*F2651,2)</f>
        <v>0</v>
      </c>
    </row>
    <row r="2652" spans="1:7" ht="19.899999999999999" customHeight="1">
      <c r="A2652" s="505"/>
      <c r="B2652" s="466"/>
      <c r="C2652" s="469"/>
      <c r="D2652" s="470"/>
      <c r="E2652" s="471">
        <f t="shared" si="882"/>
        <v>0</v>
      </c>
      <c r="F2652" s="472">
        <f t="shared" si="883"/>
        <v>0</v>
      </c>
      <c r="G2652" s="472">
        <f>ROUND(D2652*F2652,2)</f>
        <v>0</v>
      </c>
    </row>
    <row r="2653" spans="1:7" ht="19.899999999999999" customHeight="1">
      <c r="A2653" s="505"/>
      <c r="B2653" s="466"/>
      <c r="C2653" s="469"/>
      <c r="D2653" s="470"/>
      <c r="E2653" s="471">
        <f t="shared" si="882"/>
        <v>0</v>
      </c>
      <c r="F2653" s="472">
        <f t="shared" si="883"/>
        <v>0</v>
      </c>
      <c r="G2653" s="472">
        <f>ROUND(D2653*F2653,2)</f>
        <v>0</v>
      </c>
    </row>
    <row r="2654" spans="1:7" ht="19.899999999999999" customHeight="1">
      <c r="A2654" s="505"/>
      <c r="B2654" s="466"/>
      <c r="C2654" s="469"/>
      <c r="D2654" s="470"/>
      <c r="E2654" s="471">
        <f t="shared" si="882"/>
        <v>0</v>
      </c>
      <c r="F2654" s="472">
        <f t="shared" si="883"/>
        <v>0</v>
      </c>
      <c r="G2654" s="472">
        <f>ROUND(D2654*F2654,2)</f>
        <v>0</v>
      </c>
    </row>
    <row r="2655" spans="1:7" ht="19.899999999999999" customHeight="1">
      <c r="A2655" s="505"/>
      <c r="B2655" s="466"/>
      <c r="C2655" s="469"/>
      <c r="D2655" s="470"/>
      <c r="E2655" s="471">
        <f t="shared" si="882"/>
        <v>0</v>
      </c>
      <c r="F2655" s="472">
        <f t="shared" si="883"/>
        <v>0</v>
      </c>
      <c r="G2655" s="472">
        <f t="shared" ref="G2655:G2660" si="884">ROUND(D2655*F2655,2)</f>
        <v>0</v>
      </c>
    </row>
    <row r="2656" spans="1:7" ht="19.899999999999999" customHeight="1">
      <c r="A2656" s="505"/>
      <c r="B2656" s="466"/>
      <c r="C2656" s="469"/>
      <c r="D2656" s="470"/>
      <c r="E2656" s="471">
        <f t="shared" si="882"/>
        <v>0</v>
      </c>
      <c r="F2656" s="472">
        <f t="shared" si="883"/>
        <v>0</v>
      </c>
      <c r="G2656" s="472">
        <f t="shared" si="884"/>
        <v>0</v>
      </c>
    </row>
    <row r="2657" spans="1:7" ht="19.899999999999999" customHeight="1">
      <c r="A2657" s="505"/>
      <c r="B2657" s="466"/>
      <c r="C2657" s="469"/>
      <c r="D2657" s="470"/>
      <c r="E2657" s="471">
        <f t="shared" si="882"/>
        <v>0</v>
      </c>
      <c r="F2657" s="472">
        <f t="shared" si="883"/>
        <v>0</v>
      </c>
      <c r="G2657" s="472">
        <f t="shared" si="884"/>
        <v>0</v>
      </c>
    </row>
    <row r="2658" spans="1:7" ht="19.899999999999999" customHeight="1">
      <c r="A2658" s="505"/>
      <c r="B2658" s="466"/>
      <c r="C2658" s="469"/>
      <c r="D2658" s="470"/>
      <c r="E2658" s="471">
        <f t="shared" si="882"/>
        <v>0</v>
      </c>
      <c r="F2658" s="472">
        <f t="shared" si="883"/>
        <v>0</v>
      </c>
      <c r="G2658" s="472">
        <f t="shared" si="884"/>
        <v>0</v>
      </c>
    </row>
    <row r="2659" spans="1:7" ht="19.899999999999999" customHeight="1">
      <c r="A2659" s="505"/>
      <c r="B2659" s="466"/>
      <c r="C2659" s="469"/>
      <c r="D2659" s="470"/>
      <c r="E2659" s="471">
        <f t="shared" si="882"/>
        <v>0</v>
      </c>
      <c r="F2659" s="472">
        <f t="shared" si="883"/>
        <v>0</v>
      </c>
      <c r="G2659" s="472">
        <f t="shared" si="884"/>
        <v>0</v>
      </c>
    </row>
    <row r="2660" spans="1:7" ht="19.899999999999999" customHeight="1">
      <c r="A2660" s="505"/>
      <c r="B2660" s="466"/>
      <c r="C2660" s="469"/>
      <c r="D2660" s="470"/>
      <c r="E2660" s="471">
        <f t="shared" si="882"/>
        <v>0</v>
      </c>
      <c r="F2660" s="472">
        <f t="shared" si="883"/>
        <v>0</v>
      </c>
      <c r="G2660" s="472">
        <f t="shared" si="884"/>
        <v>0</v>
      </c>
    </row>
    <row r="2661" spans="1:7" ht="19.899999999999999" customHeight="1">
      <c r="A2661" s="505"/>
      <c r="B2661" s="466"/>
      <c r="C2661" s="163"/>
      <c r="D2661" s="163"/>
      <c r="E2661" s="473"/>
      <c r="F2661" s="458"/>
      <c r="G2661" s="507"/>
    </row>
    <row r="2662" spans="1:7" ht="19.899999999999999" customHeight="1">
      <c r="A2662" s="505"/>
      <c r="B2662" s="163"/>
      <c r="C2662" s="455" t="s">
        <v>1003</v>
      </c>
      <c r="D2662" s="458" t="s">
        <v>1000</v>
      </c>
      <c r="E2662" s="524">
        <f>SUMPRODUCT(D2651:D2660,E2651:E2660)</f>
        <v>0</v>
      </c>
      <c r="F2662" s="458" t="s">
        <v>1004</v>
      </c>
      <c r="G2662" s="525">
        <f>SUM(G2651:G2660)</f>
        <v>0</v>
      </c>
    </row>
    <row r="2663" spans="1:7" ht="19.899999999999999" customHeight="1">
      <c r="A2663" s="505"/>
      <c r="B2663" s="466"/>
      <c r="C2663" s="474"/>
      <c r="D2663" s="473"/>
      <c r="E2663" s="460"/>
      <c r="F2663" s="458"/>
      <c r="G2663" s="511"/>
    </row>
    <row r="2664" spans="1:7" ht="19.899999999999999" customHeight="1">
      <c r="A2664" s="512"/>
      <c r="B2664" s="466"/>
      <c r="C2664" s="458" t="s">
        <v>1005</v>
      </c>
      <c r="D2664" s="475"/>
      <c r="E2664" s="476" t="str">
        <f ca="1">G2646&amp;"/día"</f>
        <v>m3/día</v>
      </c>
      <c r="F2664" s="452"/>
      <c r="G2664" s="507"/>
    </row>
    <row r="2665" spans="1:7" ht="19.899999999999999" customHeight="1">
      <c r="A2665" s="505"/>
      <c r="B2665" s="466"/>
      <c r="C2665" s="163"/>
      <c r="D2665" s="459"/>
      <c r="E2665" s="460"/>
      <c r="F2665" s="458"/>
      <c r="G2665" s="507"/>
    </row>
    <row r="2666" spans="1:7" ht="19.899999999999999" customHeight="1">
      <c r="A2666" s="677" t="s">
        <v>575</v>
      </c>
      <c r="B2666" s="678"/>
      <c r="C2666" s="679" t="s">
        <v>0</v>
      </c>
      <c r="D2666" s="691" t="s">
        <v>1864</v>
      </c>
      <c r="E2666" s="691" t="s">
        <v>1863</v>
      </c>
      <c r="F2666" s="683" t="s">
        <v>1006</v>
      </c>
      <c r="G2666" s="685" t="s">
        <v>25</v>
      </c>
    </row>
    <row r="2667" spans="1:7" ht="19.899999999999999" customHeight="1">
      <c r="A2667" s="477" t="s">
        <v>576</v>
      </c>
      <c r="B2667" s="477" t="s">
        <v>577</v>
      </c>
      <c r="C2667" s="680"/>
      <c r="D2667" s="692"/>
      <c r="E2667" s="682"/>
      <c r="F2667" s="684"/>
      <c r="G2667" s="686"/>
    </row>
    <row r="2668" spans="1:7" ht="19.899999999999999" customHeight="1">
      <c r="A2668" s="513"/>
      <c r="B2668" s="163"/>
      <c r="C2668" s="455" t="s">
        <v>1007</v>
      </c>
      <c r="D2668" s="460"/>
      <c r="E2668" s="460"/>
      <c r="F2668" s="163"/>
      <c r="G2668" s="514"/>
    </row>
    <row r="2669" spans="1:7" ht="19.899999999999999" customHeight="1">
      <c r="A2669" s="515">
        <f t="shared" ref="A2669:A2677" si="885">IFERROR(VLOOKUP(C2669,T_Insumos,4,FALSE),0)</f>
        <v>0</v>
      </c>
      <c r="B2669" s="478">
        <f t="shared" ref="B2669:B2677" si="886">IFERROR(VLOOKUP(C2669,T_Insumos,5,FALSE),0)</f>
        <v>0</v>
      </c>
      <c r="C2669" s="469"/>
      <c r="D2669" s="479">
        <f t="shared" ref="D2669:D2677" si="887">IFERROR(VLOOKUP(C2669,T_Insumos,3,FALSE),0)</f>
        <v>0</v>
      </c>
      <c r="E2669" s="472">
        <f>D2669*$G$23</f>
        <v>0</v>
      </c>
      <c r="F2669" s="475">
        <f>IF(C2669="",0,IFERROR(VLOOKUP(COUNTIF($A$1:A2669,"ANALISIS DE PRECIOS"),T_Rendimiento_Equipo,5,FALSE),0))</f>
        <v>0</v>
      </c>
      <c r="G2669" s="472">
        <f>IFERROR(ROUND(E2669/F2669,2),0)</f>
        <v>0</v>
      </c>
    </row>
    <row r="2670" spans="1:7" ht="19.899999999999999" customHeight="1">
      <c r="A2670" s="515">
        <f t="shared" si="885"/>
        <v>0</v>
      </c>
      <c r="B2670" s="478">
        <f t="shared" si="886"/>
        <v>0</v>
      </c>
      <c r="C2670" s="469"/>
      <c r="D2670" s="479">
        <f t="shared" si="887"/>
        <v>0</v>
      </c>
      <c r="E2670" s="472">
        <f t="shared" ref="E2670:E2677" si="888">D2670*$G$23</f>
        <v>0</v>
      </c>
      <c r="F2670" s="475">
        <f>IF(C2670="",0,IFERROR(VLOOKUP(COUNTIF($A$1:A2670,"ANALISIS DE PRECIOS"),T_Rendimiento_Equipo,5,FALSE),0))</f>
        <v>0</v>
      </c>
      <c r="G2670" s="472">
        <f t="shared" ref="G2670:G2677" si="889">IFERROR(ROUND(E2670/F2670,2),0)</f>
        <v>0</v>
      </c>
    </row>
    <row r="2671" spans="1:7" ht="19.899999999999999" customHeight="1">
      <c r="A2671" s="515">
        <f t="shared" si="885"/>
        <v>0</v>
      </c>
      <c r="B2671" s="478">
        <f t="shared" si="886"/>
        <v>0</v>
      </c>
      <c r="C2671" s="480"/>
      <c r="D2671" s="479">
        <f t="shared" si="887"/>
        <v>0</v>
      </c>
      <c r="E2671" s="472">
        <f t="shared" si="888"/>
        <v>0</v>
      </c>
      <c r="F2671" s="475">
        <f>IF(C2671="",0,IFERROR(VLOOKUP(COUNTIF($A$1:A2671,"ANALISIS DE PRECIOS"),T_Rendimiento_Equipo,5,FALSE),0))</f>
        <v>0</v>
      </c>
      <c r="G2671" s="472">
        <f t="shared" si="889"/>
        <v>0</v>
      </c>
    </row>
    <row r="2672" spans="1:7" ht="19.899999999999999" customHeight="1">
      <c r="A2672" s="515">
        <f t="shared" si="885"/>
        <v>0</v>
      </c>
      <c r="B2672" s="478">
        <f t="shared" si="886"/>
        <v>0</v>
      </c>
      <c r="C2672" s="480"/>
      <c r="D2672" s="479">
        <f t="shared" si="887"/>
        <v>0</v>
      </c>
      <c r="E2672" s="472">
        <f t="shared" si="888"/>
        <v>0</v>
      </c>
      <c r="F2672" s="475">
        <f>IF(C2672="",0,IFERROR(VLOOKUP(COUNTIF($A$1:A2672,"ANALISIS DE PRECIOS"),T_Rendimiento_Equipo,5,FALSE),0))</f>
        <v>0</v>
      </c>
      <c r="G2672" s="472">
        <f t="shared" si="889"/>
        <v>0</v>
      </c>
    </row>
    <row r="2673" spans="1:7" ht="19.899999999999999" customHeight="1">
      <c r="A2673" s="515">
        <f t="shared" si="885"/>
        <v>0</v>
      </c>
      <c r="B2673" s="478">
        <f t="shared" si="886"/>
        <v>0</v>
      </c>
      <c r="C2673" s="480"/>
      <c r="D2673" s="479">
        <f t="shared" si="887"/>
        <v>0</v>
      </c>
      <c r="E2673" s="472">
        <f t="shared" si="888"/>
        <v>0</v>
      </c>
      <c r="F2673" s="475">
        <f>IF(C2673="",0,IFERROR(VLOOKUP(COUNTIF($A$1:A2673,"ANALISIS DE PRECIOS"),T_Rendimiento_Equipo,5,FALSE),0))</f>
        <v>0</v>
      </c>
      <c r="G2673" s="472">
        <f t="shared" si="889"/>
        <v>0</v>
      </c>
    </row>
    <row r="2674" spans="1:7" ht="19.899999999999999" customHeight="1">
      <c r="A2674" s="515">
        <f t="shared" si="885"/>
        <v>0</v>
      </c>
      <c r="B2674" s="478">
        <f t="shared" si="886"/>
        <v>0</v>
      </c>
      <c r="C2674" s="480"/>
      <c r="D2674" s="479">
        <f t="shared" si="887"/>
        <v>0</v>
      </c>
      <c r="E2674" s="472">
        <f t="shared" si="888"/>
        <v>0</v>
      </c>
      <c r="F2674" s="475">
        <f>IF(C2674="",0,IFERROR(VLOOKUP(COUNTIF($A$1:A2674,"ANALISIS DE PRECIOS"),T_Rendimiento_Equipo,5,FALSE),0))</f>
        <v>0</v>
      </c>
      <c r="G2674" s="472">
        <f t="shared" si="889"/>
        <v>0</v>
      </c>
    </row>
    <row r="2675" spans="1:7" ht="19.899999999999999" customHeight="1">
      <c r="A2675" s="515">
        <f t="shared" si="885"/>
        <v>0</v>
      </c>
      <c r="B2675" s="478">
        <f t="shared" si="886"/>
        <v>0</v>
      </c>
      <c r="C2675" s="480"/>
      <c r="D2675" s="479">
        <f t="shared" si="887"/>
        <v>0</v>
      </c>
      <c r="E2675" s="472">
        <f t="shared" si="888"/>
        <v>0</v>
      </c>
      <c r="F2675" s="475">
        <f>IF(C2675="",0,IFERROR(VLOOKUP(COUNTIF($A$1:A2675,"ANALISIS DE PRECIOS"),T_Rendimiento_Equipo,5,FALSE),0))</f>
        <v>0</v>
      </c>
      <c r="G2675" s="472">
        <f t="shared" si="889"/>
        <v>0</v>
      </c>
    </row>
    <row r="2676" spans="1:7" ht="19.899999999999999" customHeight="1">
      <c r="A2676" s="515">
        <f t="shared" si="885"/>
        <v>0</v>
      </c>
      <c r="B2676" s="478">
        <f t="shared" si="886"/>
        <v>0</v>
      </c>
      <c r="C2676" s="480"/>
      <c r="D2676" s="479">
        <f t="shared" si="887"/>
        <v>0</v>
      </c>
      <c r="E2676" s="472">
        <f t="shared" si="888"/>
        <v>0</v>
      </c>
      <c r="F2676" s="475">
        <f>IF(C2676="",0,IFERROR(VLOOKUP(COUNTIF($A$1:A2676,"ANALISIS DE PRECIOS"),T_Rendimiento_Equipo,5,FALSE),0))</f>
        <v>0</v>
      </c>
      <c r="G2676" s="472">
        <f t="shared" si="889"/>
        <v>0</v>
      </c>
    </row>
    <row r="2677" spans="1:7" ht="19.899999999999999" customHeight="1">
      <c r="A2677" s="515">
        <f t="shared" si="885"/>
        <v>0</v>
      </c>
      <c r="B2677" s="478">
        <f t="shared" si="886"/>
        <v>0</v>
      </c>
      <c r="C2677" s="469"/>
      <c r="D2677" s="479">
        <f t="shared" si="887"/>
        <v>0</v>
      </c>
      <c r="E2677" s="472">
        <f t="shared" si="888"/>
        <v>0</v>
      </c>
      <c r="F2677" s="475">
        <f>IF(C2677="",0,IFERROR(VLOOKUP(COUNTIF($A$1:A2677,"ANALISIS DE PRECIOS"),T_Rendimiento_Equipo,5,FALSE),0))</f>
        <v>0</v>
      </c>
      <c r="G2677" s="472">
        <f t="shared" si="889"/>
        <v>0</v>
      </c>
    </row>
    <row r="2678" spans="1:7" ht="19.899999999999999" customHeight="1">
      <c r="A2678" s="516"/>
      <c r="B2678" s="459"/>
      <c r="C2678" s="163"/>
      <c r="D2678" s="459"/>
      <c r="E2678" s="460"/>
      <c r="F2678" s="650" t="s">
        <v>26</v>
      </c>
      <c r="G2678" s="517">
        <f>SUBTOTAL(9,G2669:G2677)</f>
        <v>0</v>
      </c>
    </row>
    <row r="2679" spans="1:7" ht="19.899999999999999" customHeight="1">
      <c r="A2679" s="513"/>
      <c r="B2679" s="163"/>
      <c r="C2679" s="455" t="s">
        <v>712</v>
      </c>
      <c r="D2679" s="459"/>
      <c r="E2679" s="460"/>
      <c r="F2679" s="461"/>
      <c r="G2679" s="514"/>
    </row>
    <row r="2680" spans="1:7" ht="19.899999999999999" customHeight="1">
      <c r="A2680" s="677" t="s">
        <v>575</v>
      </c>
      <c r="B2680" s="678"/>
      <c r="C2680" s="679" t="s">
        <v>0</v>
      </c>
      <c r="D2680" s="681" t="s">
        <v>23</v>
      </c>
      <c r="E2680" s="681" t="s">
        <v>1830</v>
      </c>
      <c r="F2680" s="683" t="s">
        <v>1006</v>
      </c>
      <c r="G2680" s="685" t="s">
        <v>25</v>
      </c>
    </row>
    <row r="2681" spans="1:7" ht="19.899999999999999" customHeight="1">
      <c r="A2681" s="477" t="s">
        <v>576</v>
      </c>
      <c r="B2681" s="477" t="s">
        <v>577</v>
      </c>
      <c r="C2681" s="680"/>
      <c r="D2681" s="682"/>
      <c r="E2681" s="682"/>
      <c r="F2681" s="684"/>
      <c r="G2681" s="686"/>
    </row>
    <row r="2682" spans="1:7" ht="19.899999999999999" customHeight="1">
      <c r="A2682" s="515">
        <f t="shared" ref="A2682:A2688" si="890">IFERROR(VLOOKUP(C2682,T_Insumos,4,FALSE),0)</f>
        <v>0</v>
      </c>
      <c r="B2682" s="478">
        <f t="shared" ref="B2682:B2688" si="891">IFERROR(VLOOKUP(C2682,T_Insumos,5,FALSE),0)</f>
        <v>0</v>
      </c>
      <c r="C2682" s="482"/>
      <c r="D2682" s="475"/>
      <c r="E2682" s="472">
        <f t="shared" ref="E2682:E2688" si="892">IFERROR(VLOOKUP(C2682,T_Insumos,3,FALSE),0)</f>
        <v>0</v>
      </c>
      <c r="F2682" s="475">
        <f>IF(C2682="",0,IFERROR(VLOOKUP(COUNTIF($A$1:A2682,"ANALISIS DE PRECIOS"),T_Rendimiento_Equipo,5,FALSE),0))</f>
        <v>0</v>
      </c>
      <c r="G2682" s="472">
        <f>IFERROR(ROUND(D2682*E2682/F2682,2),0)</f>
        <v>0</v>
      </c>
    </row>
    <row r="2683" spans="1:7" ht="19.899999999999999" customHeight="1">
      <c r="A2683" s="515">
        <f t="shared" si="890"/>
        <v>0</v>
      </c>
      <c r="B2683" s="478">
        <f t="shared" si="891"/>
        <v>0</v>
      </c>
      <c r="C2683" s="469"/>
      <c r="D2683" s="475"/>
      <c r="E2683" s="472">
        <f t="shared" si="892"/>
        <v>0</v>
      </c>
      <c r="F2683" s="475">
        <f>IF(C2683="",0,IFERROR(VLOOKUP(COUNTIF($A$1:A2683,"ANALISIS DE PRECIOS"),T_Rendimiento_Equipo,5,FALSE),0))</f>
        <v>0</v>
      </c>
      <c r="G2683" s="472">
        <f t="shared" ref="G2683:G2688" si="893">IFERROR(ROUND(D2683*E2683/F2683,2),0)</f>
        <v>0</v>
      </c>
    </row>
    <row r="2684" spans="1:7" ht="19.899999999999999" customHeight="1">
      <c r="A2684" s="515">
        <f t="shared" si="890"/>
        <v>0</v>
      </c>
      <c r="B2684" s="478">
        <f t="shared" si="891"/>
        <v>0</v>
      </c>
      <c r="C2684" s="469"/>
      <c r="D2684" s="475"/>
      <c r="E2684" s="472">
        <f t="shared" si="892"/>
        <v>0</v>
      </c>
      <c r="F2684" s="475">
        <f>IF(C2684="",0,IFERROR(VLOOKUP(COUNTIF($A$1:A2684,"ANALISIS DE PRECIOS"),T_Rendimiento_Equipo,5,FALSE),0))</f>
        <v>0</v>
      </c>
      <c r="G2684" s="472">
        <f t="shared" si="893"/>
        <v>0</v>
      </c>
    </row>
    <row r="2685" spans="1:7" ht="19.899999999999999" customHeight="1">
      <c r="A2685" s="515">
        <f t="shared" si="890"/>
        <v>0</v>
      </c>
      <c r="B2685" s="478">
        <f t="shared" si="891"/>
        <v>0</v>
      </c>
      <c r="C2685" s="469"/>
      <c r="D2685" s="475"/>
      <c r="E2685" s="472">
        <f t="shared" si="892"/>
        <v>0</v>
      </c>
      <c r="F2685" s="475">
        <f>IF(C2685="",0,IFERROR(VLOOKUP(COUNTIF($A$1:A2685,"ANALISIS DE PRECIOS"),T_Rendimiento_Equipo,5,FALSE),0))</f>
        <v>0</v>
      </c>
      <c r="G2685" s="472">
        <f t="shared" si="893"/>
        <v>0</v>
      </c>
    </row>
    <row r="2686" spans="1:7" ht="19.899999999999999" customHeight="1">
      <c r="A2686" s="515">
        <f t="shared" si="890"/>
        <v>0</v>
      </c>
      <c r="B2686" s="478">
        <f t="shared" si="891"/>
        <v>0</v>
      </c>
      <c r="C2686" s="469"/>
      <c r="D2686" s="475"/>
      <c r="E2686" s="472">
        <f t="shared" si="892"/>
        <v>0</v>
      </c>
      <c r="F2686" s="475">
        <f>IF(C2686="",0,IFERROR(VLOOKUP(COUNTIF($A$1:A2686,"ANALISIS DE PRECIOS"),T_Rendimiento_Equipo,5,FALSE),0))</f>
        <v>0</v>
      </c>
      <c r="G2686" s="472">
        <f t="shared" si="893"/>
        <v>0</v>
      </c>
    </row>
    <row r="2687" spans="1:7" ht="19.899999999999999" customHeight="1">
      <c r="A2687" s="515">
        <f t="shared" si="890"/>
        <v>0</v>
      </c>
      <c r="B2687" s="478">
        <f t="shared" si="891"/>
        <v>0</v>
      </c>
      <c r="C2687" s="469"/>
      <c r="D2687" s="483"/>
      <c r="E2687" s="472">
        <f t="shared" si="892"/>
        <v>0</v>
      </c>
      <c r="F2687" s="475">
        <f>IF(C2687="",0,IFERROR(VLOOKUP(COUNTIF($A$1:A2687,"ANALISIS DE PRECIOS"),T_Rendimiento_Equipo,5,FALSE),0))</f>
        <v>0</v>
      </c>
      <c r="G2687" s="472">
        <f t="shared" si="893"/>
        <v>0</v>
      </c>
    </row>
    <row r="2688" spans="1:7" ht="19.899999999999999" customHeight="1">
      <c r="A2688" s="515">
        <f t="shared" si="890"/>
        <v>0</v>
      </c>
      <c r="B2688" s="478">
        <f t="shared" si="891"/>
        <v>0</v>
      </c>
      <c r="C2688" s="478"/>
      <c r="D2688" s="484"/>
      <c r="E2688" s="472">
        <f t="shared" si="892"/>
        <v>0</v>
      </c>
      <c r="F2688" s="475">
        <f>IF(C2688="",0,IFERROR(VLOOKUP(COUNTIF($A$1:A2688,"ANALISIS DE PRECIOS"),T_Rendimiento_Equipo,5,FALSE),0))</f>
        <v>0</v>
      </c>
      <c r="G2688" s="472">
        <f t="shared" si="893"/>
        <v>0</v>
      </c>
    </row>
    <row r="2689" spans="1:7" ht="19.899999999999999" customHeight="1">
      <c r="A2689" s="516"/>
      <c r="B2689" s="459"/>
      <c r="C2689" s="163"/>
      <c r="D2689" s="459"/>
      <c r="E2689" s="460"/>
      <c r="F2689" s="650" t="s">
        <v>27</v>
      </c>
      <c r="G2689" s="518">
        <f>SUBTOTAL(9,G2682:G2688)</f>
        <v>0</v>
      </c>
    </row>
    <row r="2690" spans="1:7" ht="19.899999999999999" customHeight="1">
      <c r="A2690" s="513"/>
      <c r="B2690" s="163"/>
      <c r="C2690" s="455" t="s">
        <v>1013</v>
      </c>
      <c r="D2690" s="459"/>
      <c r="E2690" s="460"/>
      <c r="F2690" s="461"/>
      <c r="G2690" s="514"/>
    </row>
    <row r="2691" spans="1:7" ht="19.899999999999999" customHeight="1">
      <c r="A2691" s="677" t="s">
        <v>575</v>
      </c>
      <c r="B2691" s="678"/>
      <c r="C2691" s="679" t="s">
        <v>0</v>
      </c>
      <c r="D2691" s="679" t="s">
        <v>1865</v>
      </c>
      <c r="E2691" s="681" t="s">
        <v>23</v>
      </c>
      <c r="F2691" s="683" t="s">
        <v>24</v>
      </c>
      <c r="G2691" s="685" t="s">
        <v>25</v>
      </c>
    </row>
    <row r="2692" spans="1:7" ht="19.899999999999999" customHeight="1">
      <c r="A2692" s="477" t="s">
        <v>576</v>
      </c>
      <c r="B2692" s="477" t="s">
        <v>577</v>
      </c>
      <c r="C2692" s="680"/>
      <c r="D2692" s="680"/>
      <c r="E2692" s="682"/>
      <c r="F2692" s="684"/>
      <c r="G2692" s="686"/>
    </row>
    <row r="2693" spans="1:7" ht="19.899999999999999" customHeight="1">
      <c r="A2693" s="515">
        <f t="shared" ref="A2693:A2703" si="894">IFERROR(VLOOKUP(C2693,T_Insumos,4,FALSE),0)</f>
        <v>0</v>
      </c>
      <c r="B2693" s="478">
        <f t="shared" ref="B2693:B2703" si="895">IFERROR(VLOOKUP(C2693,T_Insumos,5,FALSE),0)</f>
        <v>0</v>
      </c>
      <c r="C2693" s="478"/>
      <c r="D2693" s="526">
        <f t="shared" ref="D2693:D2703" si="896">IFERROR(VLOOKUP(C2693,T_Insumos,2,FALSE),0)</f>
        <v>0</v>
      </c>
      <c r="E2693" s="470"/>
      <c r="F2693" s="472">
        <f t="shared" ref="F2693:F2703" si="897">IFERROR(VLOOKUP(C2693,T_Insumos,3,FALSE),0)</f>
        <v>0</v>
      </c>
      <c r="G2693" s="472">
        <f>ROUND(E2693*F2693,2)</f>
        <v>0</v>
      </c>
    </row>
    <row r="2694" spans="1:7" ht="19.899999999999999" customHeight="1">
      <c r="A2694" s="515">
        <f t="shared" si="894"/>
        <v>0</v>
      </c>
      <c r="B2694" s="478">
        <f t="shared" si="895"/>
        <v>0</v>
      </c>
      <c r="C2694" s="478"/>
      <c r="D2694" s="526">
        <f t="shared" si="896"/>
        <v>0</v>
      </c>
      <c r="E2694" s="470"/>
      <c r="F2694" s="472">
        <f t="shared" si="897"/>
        <v>0</v>
      </c>
      <c r="G2694" s="472">
        <f t="shared" ref="G2694:G2703" si="898">ROUND(E2694*F2694,2)</f>
        <v>0</v>
      </c>
    </row>
    <row r="2695" spans="1:7" ht="19.899999999999999" customHeight="1">
      <c r="A2695" s="515">
        <f t="shared" si="894"/>
        <v>0</v>
      </c>
      <c r="B2695" s="478">
        <f t="shared" si="895"/>
        <v>0</v>
      </c>
      <c r="C2695" s="478"/>
      <c r="D2695" s="526">
        <f t="shared" si="896"/>
        <v>0</v>
      </c>
      <c r="E2695" s="470"/>
      <c r="F2695" s="472">
        <f t="shared" si="897"/>
        <v>0</v>
      </c>
      <c r="G2695" s="472">
        <f t="shared" si="898"/>
        <v>0</v>
      </c>
    </row>
    <row r="2696" spans="1:7" ht="19.899999999999999" customHeight="1">
      <c r="A2696" s="515">
        <f t="shared" si="894"/>
        <v>0</v>
      </c>
      <c r="B2696" s="478">
        <f t="shared" si="895"/>
        <v>0</v>
      </c>
      <c r="C2696" s="478"/>
      <c r="D2696" s="526">
        <f t="shared" si="896"/>
        <v>0</v>
      </c>
      <c r="E2696" s="470"/>
      <c r="F2696" s="472">
        <f t="shared" si="897"/>
        <v>0</v>
      </c>
      <c r="G2696" s="472">
        <f t="shared" si="898"/>
        <v>0</v>
      </c>
    </row>
    <row r="2697" spans="1:7" ht="19.899999999999999" customHeight="1">
      <c r="A2697" s="515">
        <f t="shared" si="894"/>
        <v>0</v>
      </c>
      <c r="B2697" s="478">
        <f t="shared" si="895"/>
        <v>0</v>
      </c>
      <c r="C2697" s="478"/>
      <c r="D2697" s="526">
        <f t="shared" si="896"/>
        <v>0</v>
      </c>
      <c r="E2697" s="470"/>
      <c r="F2697" s="472">
        <f t="shared" si="897"/>
        <v>0</v>
      </c>
      <c r="G2697" s="472">
        <f t="shared" si="898"/>
        <v>0</v>
      </c>
    </row>
    <row r="2698" spans="1:7" ht="19.899999999999999" customHeight="1">
      <c r="A2698" s="515">
        <f t="shared" si="894"/>
        <v>0</v>
      </c>
      <c r="B2698" s="478">
        <f t="shared" si="895"/>
        <v>0</v>
      </c>
      <c r="C2698" s="478"/>
      <c r="D2698" s="526">
        <f t="shared" si="896"/>
        <v>0</v>
      </c>
      <c r="E2698" s="470"/>
      <c r="F2698" s="472">
        <f t="shared" si="897"/>
        <v>0</v>
      </c>
      <c r="G2698" s="472">
        <f t="shared" si="898"/>
        <v>0</v>
      </c>
    </row>
    <row r="2699" spans="1:7" ht="19.899999999999999" customHeight="1">
      <c r="A2699" s="515">
        <f t="shared" si="894"/>
        <v>0</v>
      </c>
      <c r="B2699" s="478">
        <f t="shared" si="895"/>
        <v>0</v>
      </c>
      <c r="C2699" s="478"/>
      <c r="D2699" s="526">
        <f t="shared" si="896"/>
        <v>0</v>
      </c>
      <c r="E2699" s="470"/>
      <c r="F2699" s="472">
        <f t="shared" si="897"/>
        <v>0</v>
      </c>
      <c r="G2699" s="472">
        <f t="shared" si="898"/>
        <v>0</v>
      </c>
    </row>
    <row r="2700" spans="1:7" ht="19.899999999999999" customHeight="1">
      <c r="A2700" s="515">
        <f t="shared" si="894"/>
        <v>0</v>
      </c>
      <c r="B2700" s="478">
        <f t="shared" si="895"/>
        <v>0</v>
      </c>
      <c r="C2700" s="478"/>
      <c r="D2700" s="526">
        <f t="shared" si="896"/>
        <v>0</v>
      </c>
      <c r="E2700" s="470"/>
      <c r="F2700" s="472">
        <f t="shared" si="897"/>
        <v>0</v>
      </c>
      <c r="G2700" s="472">
        <f t="shared" si="898"/>
        <v>0</v>
      </c>
    </row>
    <row r="2701" spans="1:7" ht="19.899999999999999" customHeight="1">
      <c r="A2701" s="515">
        <f t="shared" si="894"/>
        <v>0</v>
      </c>
      <c r="B2701" s="478">
        <f t="shared" si="895"/>
        <v>0</v>
      </c>
      <c r="C2701" s="478"/>
      <c r="D2701" s="526">
        <f t="shared" si="896"/>
        <v>0</v>
      </c>
      <c r="E2701" s="470"/>
      <c r="F2701" s="472">
        <f t="shared" si="897"/>
        <v>0</v>
      </c>
      <c r="G2701" s="472">
        <f t="shared" si="898"/>
        <v>0</v>
      </c>
    </row>
    <row r="2702" spans="1:7" ht="19.899999999999999" customHeight="1">
      <c r="A2702" s="515">
        <f t="shared" si="894"/>
        <v>0</v>
      </c>
      <c r="B2702" s="478">
        <f t="shared" si="895"/>
        <v>0</v>
      </c>
      <c r="C2702" s="478"/>
      <c r="D2702" s="526">
        <f t="shared" si="896"/>
        <v>0</v>
      </c>
      <c r="E2702" s="470"/>
      <c r="F2702" s="472">
        <f t="shared" si="897"/>
        <v>0</v>
      </c>
      <c r="G2702" s="472">
        <f t="shared" si="898"/>
        <v>0</v>
      </c>
    </row>
    <row r="2703" spans="1:7" ht="19.899999999999999" customHeight="1">
      <c r="A2703" s="515">
        <f t="shared" si="894"/>
        <v>0</v>
      </c>
      <c r="B2703" s="478">
        <f t="shared" si="895"/>
        <v>0</v>
      </c>
      <c r="C2703" s="478"/>
      <c r="D2703" s="526">
        <f t="shared" si="896"/>
        <v>0</v>
      </c>
      <c r="E2703" s="470"/>
      <c r="F2703" s="472">
        <f t="shared" si="897"/>
        <v>0</v>
      </c>
      <c r="G2703" s="472">
        <f t="shared" si="898"/>
        <v>0</v>
      </c>
    </row>
    <row r="2704" spans="1:7" ht="19.899999999999999" customHeight="1">
      <c r="A2704" s="513"/>
      <c r="B2704" s="163"/>
      <c r="C2704" s="163"/>
      <c r="D2704" s="459"/>
      <c r="E2704" s="460"/>
      <c r="F2704" s="650" t="s">
        <v>28</v>
      </c>
      <c r="G2704" s="518">
        <f>SUBTOTAL(9,G2693:G2703)</f>
        <v>0</v>
      </c>
    </row>
    <row r="2705" spans="1:7" ht="19.899999999999999" customHeight="1">
      <c r="A2705" s="513"/>
      <c r="B2705" s="163"/>
      <c r="C2705" s="455" t="s">
        <v>1014</v>
      </c>
      <c r="D2705" s="459"/>
      <c r="E2705" s="460"/>
      <c r="F2705" s="461"/>
      <c r="G2705" s="514"/>
    </row>
    <row r="2706" spans="1:7" ht="19.899999999999999" customHeight="1">
      <c r="A2706" s="677" t="s">
        <v>575</v>
      </c>
      <c r="B2706" s="678"/>
      <c r="C2706" s="679" t="s">
        <v>0</v>
      </c>
      <c r="D2706" s="679" t="s">
        <v>1865</v>
      </c>
      <c r="E2706" s="681" t="s">
        <v>23</v>
      </c>
      <c r="F2706" s="683" t="s">
        <v>24</v>
      </c>
      <c r="G2706" s="685" t="s">
        <v>25</v>
      </c>
    </row>
    <row r="2707" spans="1:7" ht="19.899999999999999" customHeight="1">
      <c r="A2707" s="477" t="s">
        <v>576</v>
      </c>
      <c r="B2707" s="477" t="s">
        <v>577</v>
      </c>
      <c r="C2707" s="680"/>
      <c r="D2707" s="680"/>
      <c r="E2707" s="682"/>
      <c r="F2707" s="684"/>
      <c r="G2707" s="686"/>
    </row>
    <row r="2708" spans="1:7" ht="19.899999999999999" customHeight="1">
      <c r="A2708" s="515">
        <f>IFERROR(VLOOKUP(C2708,T_Insumos,4,FALSE),0)</f>
        <v>0</v>
      </c>
      <c r="B2708" s="478">
        <f>IFERROR(VLOOKUP(C2708,T_Insumos,5,FALSE),0)</f>
        <v>0</v>
      </c>
      <c r="C2708" s="469"/>
      <c r="D2708" s="526">
        <f>IF(C2708=0,0,"$/tnkm")</f>
        <v>0</v>
      </c>
      <c r="E2708" s="470"/>
      <c r="F2708" s="472">
        <f>IFERROR(VLOOKUP(C2708,T_Insumos,3,FALSE),0)</f>
        <v>0</v>
      </c>
      <c r="G2708" s="472">
        <f>ROUND(E2708*F2708,2)</f>
        <v>0</v>
      </c>
    </row>
    <row r="2709" spans="1:7" ht="19.899999999999999" customHeight="1">
      <c r="A2709" s="515">
        <f>IFERROR(VLOOKUP(C2709,T_Insumos,4,FALSE),0)</f>
        <v>0</v>
      </c>
      <c r="B2709" s="478">
        <f>IFERROR(VLOOKUP(C2709,T_Insumos,5,FALSE),0)</f>
        <v>0</v>
      </c>
      <c r="C2709" s="469"/>
      <c r="D2709" s="526">
        <f>IF(C2709=0,0,"$/tnkm")</f>
        <v>0</v>
      </c>
      <c r="E2709" s="486"/>
      <c r="F2709" s="472">
        <f>IFERROR(VLOOKUP(C2709,T_Insumos,3,FALSE),0)</f>
        <v>0</v>
      </c>
      <c r="G2709" s="472">
        <f t="shared" ref="G2709" si="899">ROUND(E2709*F2709,2)</f>
        <v>0</v>
      </c>
    </row>
    <row r="2710" spans="1:7" ht="19.899999999999999" customHeight="1">
      <c r="A2710" s="513"/>
      <c r="B2710" s="163"/>
      <c r="C2710" s="163"/>
      <c r="D2710" s="459"/>
      <c r="E2710" s="460"/>
      <c r="F2710" s="650" t="s">
        <v>1015</v>
      </c>
      <c r="G2710" s="518">
        <f>SUBTOTAL(9,G2708:G2709)</f>
        <v>0</v>
      </c>
    </row>
    <row r="2711" spans="1:7" ht="19.899999999999999" customHeight="1">
      <c r="A2711" s="516"/>
      <c r="B2711" s="459"/>
      <c r="C2711" s="163"/>
      <c r="D2711" s="459"/>
      <c r="E2711" s="460"/>
      <c r="F2711" s="461"/>
      <c r="G2711" s="514"/>
    </row>
    <row r="2712" spans="1:7" ht="19.899999999999999" customHeight="1">
      <c r="A2712" s="574" t="str">
        <f>B2646</f>
        <v>6.1.3</v>
      </c>
      <c r="B2712" s="571" t="str">
        <f ca="1">C2646</f>
        <v>Excavación</v>
      </c>
      <c r="C2712" s="459"/>
      <c r="D2712" s="459" t="s">
        <v>1831</v>
      </c>
      <c r="E2712" s="572"/>
      <c r="F2712" s="573" t="str">
        <f ca="1">"$/"&amp;G2646</f>
        <v>$/m3</v>
      </c>
      <c r="G2712" s="523">
        <f>SUBTOTAL(9,G2669:G2711)</f>
        <v>0</v>
      </c>
    </row>
    <row r="2713" spans="1:7" ht="19.899999999999999" customHeight="1">
      <c r="A2713" s="519"/>
      <c r="B2713" s="520"/>
      <c r="C2713" s="521"/>
      <c r="D2713" s="521" t="s">
        <v>2041</v>
      </c>
      <c r="E2713" s="522"/>
      <c r="F2713" s="575" t="str">
        <f ca="1">"$/"&amp;G2646</f>
        <v>$/m3</v>
      </c>
      <c r="G2713" s="523">
        <f>ROUND(G2712*Coeficiente_Paso,2)</f>
        <v>0</v>
      </c>
    </row>
    <row r="2714" spans="1:7" ht="19.899999999999999" customHeight="1">
      <c r="A2714" s="163"/>
      <c r="B2714" s="163"/>
      <c r="C2714" s="163"/>
      <c r="D2714" s="163"/>
      <c r="E2714" s="163"/>
      <c r="F2714" s="163"/>
      <c r="G2714" s="163"/>
    </row>
    <row r="2715" spans="1:7" ht="19.899999999999999" customHeight="1">
      <c r="A2715" s="687" t="s">
        <v>30</v>
      </c>
      <c r="B2715" s="688"/>
      <c r="C2715" s="688"/>
      <c r="D2715" s="688"/>
      <c r="E2715" s="688"/>
      <c r="F2715" s="688"/>
      <c r="G2715" s="689"/>
    </row>
    <row r="2716" spans="1:7" ht="19.899999999999999" customHeight="1">
      <c r="A2716" s="502" t="s">
        <v>710</v>
      </c>
      <c r="B2716" s="453" t="str">
        <f>Comitente</f>
        <v>DEPARTAMENTO DE HIDRAULICA</v>
      </c>
      <c r="C2716" s="454"/>
      <c r="D2716" s="455"/>
      <c r="E2716" s="455"/>
      <c r="F2716" s="456"/>
      <c r="G2716" s="503"/>
    </row>
    <row r="2717" spans="1:7" ht="19.899999999999999" customHeight="1">
      <c r="A2717" s="502" t="s">
        <v>711</v>
      </c>
      <c r="B2717" s="453">
        <f>Contratista</f>
        <v>0</v>
      </c>
      <c r="C2717" s="457"/>
      <c r="D2717" s="457"/>
      <c r="E2717" s="457"/>
      <c r="F2717" s="453"/>
      <c r="G2717" s="504"/>
    </row>
    <row r="2718" spans="1:7" ht="19.899999999999999" customHeight="1">
      <c r="A2718" s="502" t="s">
        <v>20</v>
      </c>
      <c r="B2718" s="453" t="str">
        <f>Obra</f>
        <v>MEJORA DE LA RED DE RIEGO DEL VALLE DE JÁCHAL</v>
      </c>
      <c r="C2718" s="457"/>
      <c r="D2718" s="457"/>
      <c r="E2718" s="457"/>
      <c r="F2718" s="453" t="s">
        <v>31</v>
      </c>
      <c r="G2718" s="504" t="str">
        <f>Fecha_Base</f>
        <v>XX/07/2020</v>
      </c>
    </row>
    <row r="2719" spans="1:7" ht="19.899999999999999" customHeight="1">
      <c r="A2719" s="505" t="s">
        <v>709</v>
      </c>
      <c r="B2719" s="458" t="str">
        <f>Ubicación</f>
        <v>JACHAL</v>
      </c>
      <c r="C2719" s="458"/>
      <c r="D2719" s="459"/>
      <c r="E2719" s="460"/>
      <c r="F2719" s="461"/>
      <c r="G2719" s="506"/>
    </row>
    <row r="2720" spans="1:7" ht="19.899999999999999" customHeight="1">
      <c r="A2720" s="505" t="s">
        <v>32</v>
      </c>
      <c r="B2720" s="462">
        <f>IFERROR(VALUE(LEFT(B2721,FIND(".",B2721)-1)),"")</f>
        <v>6</v>
      </c>
      <c r="C2720" s="163" t="str">
        <f ca="1">IFERROR(VLOOKUP(B2720,T_Computo_Presupuesto,2,FALSE),0)</f>
        <v>CANAL DEL NORTE</v>
      </c>
      <c r="D2720" s="163"/>
      <c r="E2720" s="460"/>
      <c r="F2720" s="461"/>
      <c r="G2720" s="506"/>
    </row>
    <row r="2721" spans="1:7" ht="19.899999999999999" customHeight="1">
      <c r="A2721" s="505" t="s">
        <v>21</v>
      </c>
      <c r="B2721" s="463" t="str">
        <f>IFERROR(VLOOKUP(COUNTIF($A$1:A2721,"ANALISIS DE PRECIOS"),T_NumeroItem,2,FALSE),"")</f>
        <v>6.1.4</v>
      </c>
      <c r="C2721" s="690" t="str">
        <f ca="1">IFERROR(VLOOKUP(B2721,T_Computo_Presupuesto,2,FALSE),0)</f>
        <v>Relleno y compactación</v>
      </c>
      <c r="D2721" s="690"/>
      <c r="E2721" s="690"/>
      <c r="F2721" s="458" t="s">
        <v>22</v>
      </c>
      <c r="G2721" s="507" t="str">
        <f ca="1">IFERROR(VLOOKUP(B2721,T_Computo_Presupuesto,4,FALSE),0)</f>
        <v>m3</v>
      </c>
    </row>
    <row r="2722" spans="1:7" ht="19.899999999999999" customHeight="1">
      <c r="A2722" s="505"/>
      <c r="B2722" s="458"/>
      <c r="C2722" s="163"/>
      <c r="D2722" s="459"/>
      <c r="E2722" s="460"/>
      <c r="F2722" s="163"/>
      <c r="G2722" s="508"/>
    </row>
    <row r="2723" spans="1:7" ht="19.899999999999999" customHeight="1">
      <c r="A2723" s="509"/>
      <c r="B2723" s="464"/>
      <c r="C2723" s="465" t="s">
        <v>998</v>
      </c>
      <c r="D2723" s="464"/>
      <c r="E2723" s="464"/>
      <c r="F2723" s="464"/>
      <c r="G2723" s="510"/>
    </row>
    <row r="2724" spans="1:7" ht="19.899999999999999" customHeight="1">
      <c r="A2724" s="505"/>
      <c r="B2724" s="466"/>
      <c r="C2724" s="163"/>
      <c r="D2724" s="459"/>
      <c r="E2724" s="460"/>
      <c r="F2724" s="458"/>
      <c r="G2724" s="507"/>
    </row>
    <row r="2725" spans="1:7" ht="19.899999999999999" customHeight="1">
      <c r="A2725" s="505"/>
      <c r="B2725" s="466"/>
      <c r="C2725" s="467" t="s">
        <v>999</v>
      </c>
      <c r="D2725" s="468" t="s">
        <v>23</v>
      </c>
      <c r="E2725" s="468" t="s">
        <v>1000</v>
      </c>
      <c r="F2725" s="468" t="s">
        <v>1001</v>
      </c>
      <c r="G2725" s="467" t="s">
        <v>1002</v>
      </c>
    </row>
    <row r="2726" spans="1:7" ht="19.899999999999999" customHeight="1">
      <c r="A2726" s="505"/>
      <c r="B2726" s="466"/>
      <c r="C2726" s="469"/>
      <c r="D2726" s="470"/>
      <c r="E2726" s="471">
        <f t="shared" ref="E2726:E2735" si="900">IFERROR(VLOOKUP(C2726,T_Equipos,4,FALSE),0)</f>
        <v>0</v>
      </c>
      <c r="F2726" s="472">
        <f t="shared" ref="F2726:F2735" si="901">IFERROR(VLOOKUP(C2726,T_Equipos,5,FALSE),0)</f>
        <v>0</v>
      </c>
      <c r="G2726" s="472">
        <f>ROUND(D2726*F2726,2)</f>
        <v>0</v>
      </c>
    </row>
    <row r="2727" spans="1:7" ht="19.899999999999999" customHeight="1">
      <c r="A2727" s="505"/>
      <c r="B2727" s="466"/>
      <c r="C2727" s="469"/>
      <c r="D2727" s="470"/>
      <c r="E2727" s="471">
        <f t="shared" si="900"/>
        <v>0</v>
      </c>
      <c r="F2727" s="472">
        <f t="shared" si="901"/>
        <v>0</v>
      </c>
      <c r="G2727" s="472">
        <f>ROUND(D2727*F2727,2)</f>
        <v>0</v>
      </c>
    </row>
    <row r="2728" spans="1:7" ht="19.899999999999999" customHeight="1">
      <c r="A2728" s="505"/>
      <c r="B2728" s="466"/>
      <c r="C2728" s="469"/>
      <c r="D2728" s="470"/>
      <c r="E2728" s="471">
        <f t="shared" si="900"/>
        <v>0</v>
      </c>
      <c r="F2728" s="472">
        <f t="shared" si="901"/>
        <v>0</v>
      </c>
      <c r="G2728" s="472">
        <f>ROUND(D2728*F2728,2)</f>
        <v>0</v>
      </c>
    </row>
    <row r="2729" spans="1:7" ht="19.899999999999999" customHeight="1">
      <c r="A2729" s="505"/>
      <c r="B2729" s="466"/>
      <c r="C2729" s="469"/>
      <c r="D2729" s="470"/>
      <c r="E2729" s="471">
        <f t="shared" si="900"/>
        <v>0</v>
      </c>
      <c r="F2729" s="472">
        <f t="shared" si="901"/>
        <v>0</v>
      </c>
      <c r="G2729" s="472">
        <f>ROUND(D2729*F2729,2)</f>
        <v>0</v>
      </c>
    </row>
    <row r="2730" spans="1:7" ht="19.899999999999999" customHeight="1">
      <c r="A2730" s="505"/>
      <c r="B2730" s="466"/>
      <c r="C2730" s="469"/>
      <c r="D2730" s="470"/>
      <c r="E2730" s="471">
        <f t="shared" si="900"/>
        <v>0</v>
      </c>
      <c r="F2730" s="472">
        <f t="shared" si="901"/>
        <v>0</v>
      </c>
      <c r="G2730" s="472">
        <f t="shared" ref="G2730:G2735" si="902">ROUND(D2730*F2730,2)</f>
        <v>0</v>
      </c>
    </row>
    <row r="2731" spans="1:7" ht="19.899999999999999" customHeight="1">
      <c r="A2731" s="505"/>
      <c r="B2731" s="466"/>
      <c r="C2731" s="469"/>
      <c r="D2731" s="470"/>
      <c r="E2731" s="471">
        <f t="shared" si="900"/>
        <v>0</v>
      </c>
      <c r="F2731" s="472">
        <f t="shared" si="901"/>
        <v>0</v>
      </c>
      <c r="G2731" s="472">
        <f t="shared" si="902"/>
        <v>0</v>
      </c>
    </row>
    <row r="2732" spans="1:7" ht="19.899999999999999" customHeight="1">
      <c r="A2732" s="505"/>
      <c r="B2732" s="466"/>
      <c r="C2732" s="469"/>
      <c r="D2732" s="470"/>
      <c r="E2732" s="471">
        <f t="shared" si="900"/>
        <v>0</v>
      </c>
      <c r="F2732" s="472">
        <f t="shared" si="901"/>
        <v>0</v>
      </c>
      <c r="G2732" s="472">
        <f t="shared" si="902"/>
        <v>0</v>
      </c>
    </row>
    <row r="2733" spans="1:7" ht="19.899999999999999" customHeight="1">
      <c r="A2733" s="505"/>
      <c r="B2733" s="466"/>
      <c r="C2733" s="469"/>
      <c r="D2733" s="470"/>
      <c r="E2733" s="471">
        <f t="shared" si="900"/>
        <v>0</v>
      </c>
      <c r="F2733" s="472">
        <f t="shared" si="901"/>
        <v>0</v>
      </c>
      <c r="G2733" s="472">
        <f t="shared" si="902"/>
        <v>0</v>
      </c>
    </row>
    <row r="2734" spans="1:7" ht="19.899999999999999" customHeight="1">
      <c r="A2734" s="505"/>
      <c r="B2734" s="466"/>
      <c r="C2734" s="469"/>
      <c r="D2734" s="470"/>
      <c r="E2734" s="471">
        <f t="shared" si="900"/>
        <v>0</v>
      </c>
      <c r="F2734" s="472">
        <f t="shared" si="901"/>
        <v>0</v>
      </c>
      <c r="G2734" s="472">
        <f t="shared" si="902"/>
        <v>0</v>
      </c>
    </row>
    <row r="2735" spans="1:7" ht="19.899999999999999" customHeight="1">
      <c r="A2735" s="505"/>
      <c r="B2735" s="466"/>
      <c r="C2735" s="469"/>
      <c r="D2735" s="470"/>
      <c r="E2735" s="471">
        <f t="shared" si="900"/>
        <v>0</v>
      </c>
      <c r="F2735" s="472">
        <f t="shared" si="901"/>
        <v>0</v>
      </c>
      <c r="G2735" s="472">
        <f t="shared" si="902"/>
        <v>0</v>
      </c>
    </row>
    <row r="2736" spans="1:7" ht="19.899999999999999" customHeight="1">
      <c r="A2736" s="505"/>
      <c r="B2736" s="466"/>
      <c r="C2736" s="163"/>
      <c r="D2736" s="163"/>
      <c r="E2736" s="473"/>
      <c r="F2736" s="458"/>
      <c r="G2736" s="507"/>
    </row>
    <row r="2737" spans="1:7" ht="19.899999999999999" customHeight="1">
      <c r="A2737" s="505"/>
      <c r="B2737" s="163"/>
      <c r="C2737" s="455" t="s">
        <v>1003</v>
      </c>
      <c r="D2737" s="458" t="s">
        <v>1000</v>
      </c>
      <c r="E2737" s="524">
        <f>SUMPRODUCT(D2726:D2735,E2726:E2735)</f>
        <v>0</v>
      </c>
      <c r="F2737" s="458" t="s">
        <v>1004</v>
      </c>
      <c r="G2737" s="525">
        <f>SUM(G2726:G2735)</f>
        <v>0</v>
      </c>
    </row>
    <row r="2738" spans="1:7" ht="19.899999999999999" customHeight="1">
      <c r="A2738" s="505"/>
      <c r="B2738" s="466"/>
      <c r="C2738" s="474"/>
      <c r="D2738" s="473"/>
      <c r="E2738" s="460"/>
      <c r="F2738" s="458"/>
      <c r="G2738" s="511"/>
    </row>
    <row r="2739" spans="1:7" ht="19.899999999999999" customHeight="1">
      <c r="A2739" s="512"/>
      <c r="B2739" s="466"/>
      <c r="C2739" s="458" t="s">
        <v>1005</v>
      </c>
      <c r="D2739" s="475"/>
      <c r="E2739" s="476" t="str">
        <f ca="1">G2721&amp;"/día"</f>
        <v>m3/día</v>
      </c>
      <c r="F2739" s="452"/>
      <c r="G2739" s="507"/>
    </row>
    <row r="2740" spans="1:7" ht="19.899999999999999" customHeight="1">
      <c r="A2740" s="505"/>
      <c r="B2740" s="466"/>
      <c r="C2740" s="163"/>
      <c r="D2740" s="459"/>
      <c r="E2740" s="460"/>
      <c r="F2740" s="458"/>
      <c r="G2740" s="507"/>
    </row>
    <row r="2741" spans="1:7" ht="19.899999999999999" customHeight="1">
      <c r="A2741" s="677" t="s">
        <v>575</v>
      </c>
      <c r="B2741" s="678"/>
      <c r="C2741" s="679" t="s">
        <v>0</v>
      </c>
      <c r="D2741" s="691" t="s">
        <v>1864</v>
      </c>
      <c r="E2741" s="691" t="s">
        <v>1863</v>
      </c>
      <c r="F2741" s="683" t="s">
        <v>1006</v>
      </c>
      <c r="G2741" s="685" t="s">
        <v>25</v>
      </c>
    </row>
    <row r="2742" spans="1:7" ht="19.899999999999999" customHeight="1">
      <c r="A2742" s="477" t="s">
        <v>576</v>
      </c>
      <c r="B2742" s="477" t="s">
        <v>577</v>
      </c>
      <c r="C2742" s="680"/>
      <c r="D2742" s="692"/>
      <c r="E2742" s="682"/>
      <c r="F2742" s="684"/>
      <c r="G2742" s="686"/>
    </row>
    <row r="2743" spans="1:7" ht="19.899999999999999" customHeight="1">
      <c r="A2743" s="513"/>
      <c r="B2743" s="163"/>
      <c r="C2743" s="455" t="s">
        <v>1007</v>
      </c>
      <c r="D2743" s="460"/>
      <c r="E2743" s="460"/>
      <c r="F2743" s="163"/>
      <c r="G2743" s="514"/>
    </row>
    <row r="2744" spans="1:7" ht="19.899999999999999" customHeight="1">
      <c r="A2744" s="515">
        <f t="shared" ref="A2744:A2752" si="903">IFERROR(VLOOKUP(C2744,T_Insumos,4,FALSE),0)</f>
        <v>0</v>
      </c>
      <c r="B2744" s="478">
        <f t="shared" ref="B2744:B2752" si="904">IFERROR(VLOOKUP(C2744,T_Insumos,5,FALSE),0)</f>
        <v>0</v>
      </c>
      <c r="C2744" s="469"/>
      <c r="D2744" s="479">
        <f t="shared" ref="D2744:D2752" si="905">IFERROR(VLOOKUP(C2744,T_Insumos,3,FALSE),0)</f>
        <v>0</v>
      </c>
      <c r="E2744" s="472">
        <f>D2744*$G$23</f>
        <v>0</v>
      </c>
      <c r="F2744" s="475">
        <f>IF(C2744="",0,IFERROR(VLOOKUP(COUNTIF($A$1:A2744,"ANALISIS DE PRECIOS"),T_Rendimiento_Equipo,5,FALSE),0))</f>
        <v>0</v>
      </c>
      <c r="G2744" s="472">
        <f>IFERROR(ROUND(E2744/F2744,2),0)</f>
        <v>0</v>
      </c>
    </row>
    <row r="2745" spans="1:7" ht="19.899999999999999" customHeight="1">
      <c r="A2745" s="515">
        <f t="shared" si="903"/>
        <v>0</v>
      </c>
      <c r="B2745" s="478">
        <f t="shared" si="904"/>
        <v>0</v>
      </c>
      <c r="C2745" s="469"/>
      <c r="D2745" s="479">
        <f t="shared" si="905"/>
        <v>0</v>
      </c>
      <c r="E2745" s="472">
        <f t="shared" ref="E2745:E2752" si="906">D2745*$G$23</f>
        <v>0</v>
      </c>
      <c r="F2745" s="475">
        <f>IF(C2745="",0,IFERROR(VLOOKUP(COUNTIF($A$1:A2745,"ANALISIS DE PRECIOS"),T_Rendimiento_Equipo,5,FALSE),0))</f>
        <v>0</v>
      </c>
      <c r="G2745" s="472">
        <f t="shared" ref="G2745:G2752" si="907">IFERROR(ROUND(E2745/F2745,2),0)</f>
        <v>0</v>
      </c>
    </row>
    <row r="2746" spans="1:7" ht="19.899999999999999" customHeight="1">
      <c r="A2746" s="515">
        <f t="shared" si="903"/>
        <v>0</v>
      </c>
      <c r="B2746" s="478">
        <f t="shared" si="904"/>
        <v>0</v>
      </c>
      <c r="C2746" s="480"/>
      <c r="D2746" s="479">
        <f t="shared" si="905"/>
        <v>0</v>
      </c>
      <c r="E2746" s="472">
        <f t="shared" si="906"/>
        <v>0</v>
      </c>
      <c r="F2746" s="475">
        <f>IF(C2746="",0,IFERROR(VLOOKUP(COUNTIF($A$1:A2746,"ANALISIS DE PRECIOS"),T_Rendimiento_Equipo,5,FALSE),0))</f>
        <v>0</v>
      </c>
      <c r="G2746" s="472">
        <f t="shared" si="907"/>
        <v>0</v>
      </c>
    </row>
    <row r="2747" spans="1:7" ht="19.899999999999999" customHeight="1">
      <c r="A2747" s="515">
        <f t="shared" si="903"/>
        <v>0</v>
      </c>
      <c r="B2747" s="478">
        <f t="shared" si="904"/>
        <v>0</v>
      </c>
      <c r="C2747" s="480"/>
      <c r="D2747" s="479">
        <f t="shared" si="905"/>
        <v>0</v>
      </c>
      <c r="E2747" s="472">
        <f t="shared" si="906"/>
        <v>0</v>
      </c>
      <c r="F2747" s="475">
        <f>IF(C2747="",0,IFERROR(VLOOKUP(COUNTIF($A$1:A2747,"ANALISIS DE PRECIOS"),T_Rendimiento_Equipo,5,FALSE),0))</f>
        <v>0</v>
      </c>
      <c r="G2747" s="472">
        <f t="shared" si="907"/>
        <v>0</v>
      </c>
    </row>
    <row r="2748" spans="1:7" ht="19.899999999999999" customHeight="1">
      <c r="A2748" s="515">
        <f t="shared" si="903"/>
        <v>0</v>
      </c>
      <c r="B2748" s="478">
        <f t="shared" si="904"/>
        <v>0</v>
      </c>
      <c r="C2748" s="480"/>
      <c r="D2748" s="479">
        <f t="shared" si="905"/>
        <v>0</v>
      </c>
      <c r="E2748" s="472">
        <f t="shared" si="906"/>
        <v>0</v>
      </c>
      <c r="F2748" s="475">
        <f>IF(C2748="",0,IFERROR(VLOOKUP(COUNTIF($A$1:A2748,"ANALISIS DE PRECIOS"),T_Rendimiento_Equipo,5,FALSE),0))</f>
        <v>0</v>
      </c>
      <c r="G2748" s="472">
        <f t="shared" si="907"/>
        <v>0</v>
      </c>
    </row>
    <row r="2749" spans="1:7" ht="19.899999999999999" customHeight="1">
      <c r="A2749" s="515">
        <f t="shared" si="903"/>
        <v>0</v>
      </c>
      <c r="B2749" s="478">
        <f t="shared" si="904"/>
        <v>0</v>
      </c>
      <c r="C2749" s="480"/>
      <c r="D2749" s="479">
        <f t="shared" si="905"/>
        <v>0</v>
      </c>
      <c r="E2749" s="472">
        <f t="shared" si="906"/>
        <v>0</v>
      </c>
      <c r="F2749" s="475">
        <f>IF(C2749="",0,IFERROR(VLOOKUP(COUNTIF($A$1:A2749,"ANALISIS DE PRECIOS"),T_Rendimiento_Equipo,5,FALSE),0))</f>
        <v>0</v>
      </c>
      <c r="G2749" s="472">
        <f t="shared" si="907"/>
        <v>0</v>
      </c>
    </row>
    <row r="2750" spans="1:7" ht="19.899999999999999" customHeight="1">
      <c r="A2750" s="515">
        <f t="shared" si="903"/>
        <v>0</v>
      </c>
      <c r="B2750" s="478">
        <f t="shared" si="904"/>
        <v>0</v>
      </c>
      <c r="C2750" s="480"/>
      <c r="D2750" s="479">
        <f t="shared" si="905"/>
        <v>0</v>
      </c>
      <c r="E2750" s="472">
        <f t="shared" si="906"/>
        <v>0</v>
      </c>
      <c r="F2750" s="475">
        <f>IF(C2750="",0,IFERROR(VLOOKUP(COUNTIF($A$1:A2750,"ANALISIS DE PRECIOS"),T_Rendimiento_Equipo,5,FALSE),0))</f>
        <v>0</v>
      </c>
      <c r="G2750" s="472">
        <f t="shared" si="907"/>
        <v>0</v>
      </c>
    </row>
    <row r="2751" spans="1:7" ht="19.899999999999999" customHeight="1">
      <c r="A2751" s="515">
        <f t="shared" si="903"/>
        <v>0</v>
      </c>
      <c r="B2751" s="478">
        <f t="shared" si="904"/>
        <v>0</v>
      </c>
      <c r="C2751" s="480"/>
      <c r="D2751" s="479">
        <f t="shared" si="905"/>
        <v>0</v>
      </c>
      <c r="E2751" s="472">
        <f t="shared" si="906"/>
        <v>0</v>
      </c>
      <c r="F2751" s="475">
        <f>IF(C2751="",0,IFERROR(VLOOKUP(COUNTIF($A$1:A2751,"ANALISIS DE PRECIOS"),T_Rendimiento_Equipo,5,FALSE),0))</f>
        <v>0</v>
      </c>
      <c r="G2751" s="472">
        <f t="shared" si="907"/>
        <v>0</v>
      </c>
    </row>
    <row r="2752" spans="1:7" ht="19.899999999999999" customHeight="1">
      <c r="A2752" s="515">
        <f t="shared" si="903"/>
        <v>0</v>
      </c>
      <c r="B2752" s="478">
        <f t="shared" si="904"/>
        <v>0</v>
      </c>
      <c r="C2752" s="469"/>
      <c r="D2752" s="479">
        <f t="shared" si="905"/>
        <v>0</v>
      </c>
      <c r="E2752" s="472">
        <f t="shared" si="906"/>
        <v>0</v>
      </c>
      <c r="F2752" s="475">
        <f>IF(C2752="",0,IFERROR(VLOOKUP(COUNTIF($A$1:A2752,"ANALISIS DE PRECIOS"),T_Rendimiento_Equipo,5,FALSE),0))</f>
        <v>0</v>
      </c>
      <c r="G2752" s="472">
        <f t="shared" si="907"/>
        <v>0</v>
      </c>
    </row>
    <row r="2753" spans="1:7" ht="19.899999999999999" customHeight="1">
      <c r="A2753" s="516"/>
      <c r="B2753" s="459"/>
      <c r="C2753" s="163"/>
      <c r="D2753" s="459"/>
      <c r="E2753" s="460"/>
      <c r="F2753" s="650" t="s">
        <v>26</v>
      </c>
      <c r="G2753" s="517">
        <f>SUBTOTAL(9,G2744:G2752)</f>
        <v>0</v>
      </c>
    </row>
    <row r="2754" spans="1:7" ht="19.899999999999999" customHeight="1">
      <c r="A2754" s="513"/>
      <c r="B2754" s="163"/>
      <c r="C2754" s="455" t="s">
        <v>712</v>
      </c>
      <c r="D2754" s="459"/>
      <c r="E2754" s="460"/>
      <c r="F2754" s="461"/>
      <c r="G2754" s="514"/>
    </row>
    <row r="2755" spans="1:7" ht="19.899999999999999" customHeight="1">
      <c r="A2755" s="677" t="s">
        <v>575</v>
      </c>
      <c r="B2755" s="678"/>
      <c r="C2755" s="679" t="s">
        <v>0</v>
      </c>
      <c r="D2755" s="681" t="s">
        <v>23</v>
      </c>
      <c r="E2755" s="681" t="s">
        <v>1830</v>
      </c>
      <c r="F2755" s="683" t="s">
        <v>1006</v>
      </c>
      <c r="G2755" s="685" t="s">
        <v>25</v>
      </c>
    </row>
    <row r="2756" spans="1:7" ht="19.899999999999999" customHeight="1">
      <c r="A2756" s="477" t="s">
        <v>576</v>
      </c>
      <c r="B2756" s="477" t="s">
        <v>577</v>
      </c>
      <c r="C2756" s="680"/>
      <c r="D2756" s="682"/>
      <c r="E2756" s="682"/>
      <c r="F2756" s="684"/>
      <c r="G2756" s="686"/>
    </row>
    <row r="2757" spans="1:7" ht="19.899999999999999" customHeight="1">
      <c r="A2757" s="515">
        <f t="shared" ref="A2757:A2763" si="908">IFERROR(VLOOKUP(C2757,T_Insumos,4,FALSE),0)</f>
        <v>0</v>
      </c>
      <c r="B2757" s="478">
        <f t="shared" ref="B2757:B2763" si="909">IFERROR(VLOOKUP(C2757,T_Insumos,5,FALSE),0)</f>
        <v>0</v>
      </c>
      <c r="C2757" s="482"/>
      <c r="D2757" s="475"/>
      <c r="E2757" s="472">
        <f t="shared" ref="E2757:E2763" si="910">IFERROR(VLOOKUP(C2757,T_Insumos,3,FALSE),0)</f>
        <v>0</v>
      </c>
      <c r="F2757" s="475">
        <f>IF(C2757="",0,IFERROR(VLOOKUP(COUNTIF($A$1:A2757,"ANALISIS DE PRECIOS"),T_Rendimiento_Equipo,5,FALSE),0))</f>
        <v>0</v>
      </c>
      <c r="G2757" s="472">
        <f>IFERROR(ROUND(D2757*E2757/F2757,2),0)</f>
        <v>0</v>
      </c>
    </row>
    <row r="2758" spans="1:7" ht="19.899999999999999" customHeight="1">
      <c r="A2758" s="515">
        <f t="shared" si="908"/>
        <v>0</v>
      </c>
      <c r="B2758" s="478">
        <f t="shared" si="909"/>
        <v>0</v>
      </c>
      <c r="C2758" s="469"/>
      <c r="D2758" s="475"/>
      <c r="E2758" s="472">
        <f t="shared" si="910"/>
        <v>0</v>
      </c>
      <c r="F2758" s="475">
        <f>IF(C2758="",0,IFERROR(VLOOKUP(COUNTIF($A$1:A2758,"ANALISIS DE PRECIOS"),T_Rendimiento_Equipo,5,FALSE),0))</f>
        <v>0</v>
      </c>
      <c r="G2758" s="472">
        <f t="shared" ref="G2758:G2763" si="911">IFERROR(ROUND(D2758*E2758/F2758,2),0)</f>
        <v>0</v>
      </c>
    </row>
    <row r="2759" spans="1:7" ht="19.899999999999999" customHeight="1">
      <c r="A2759" s="515">
        <f t="shared" si="908"/>
        <v>0</v>
      </c>
      <c r="B2759" s="478">
        <f t="shared" si="909"/>
        <v>0</v>
      </c>
      <c r="C2759" s="469"/>
      <c r="D2759" s="475"/>
      <c r="E2759" s="472">
        <f t="shared" si="910"/>
        <v>0</v>
      </c>
      <c r="F2759" s="475">
        <f>IF(C2759="",0,IFERROR(VLOOKUP(COUNTIF($A$1:A2759,"ANALISIS DE PRECIOS"),T_Rendimiento_Equipo,5,FALSE),0))</f>
        <v>0</v>
      </c>
      <c r="G2759" s="472">
        <f t="shared" si="911"/>
        <v>0</v>
      </c>
    </row>
    <row r="2760" spans="1:7" ht="19.899999999999999" customHeight="1">
      <c r="A2760" s="515">
        <f t="shared" si="908"/>
        <v>0</v>
      </c>
      <c r="B2760" s="478">
        <f t="shared" si="909"/>
        <v>0</v>
      </c>
      <c r="C2760" s="469"/>
      <c r="D2760" s="475"/>
      <c r="E2760" s="472">
        <f t="shared" si="910"/>
        <v>0</v>
      </c>
      <c r="F2760" s="475">
        <f>IF(C2760="",0,IFERROR(VLOOKUP(COUNTIF($A$1:A2760,"ANALISIS DE PRECIOS"),T_Rendimiento_Equipo,5,FALSE),0))</f>
        <v>0</v>
      </c>
      <c r="G2760" s="472">
        <f t="shared" si="911"/>
        <v>0</v>
      </c>
    </row>
    <row r="2761" spans="1:7" ht="19.899999999999999" customHeight="1">
      <c r="A2761" s="515">
        <f t="shared" si="908"/>
        <v>0</v>
      </c>
      <c r="B2761" s="478">
        <f t="shared" si="909"/>
        <v>0</v>
      </c>
      <c r="C2761" s="469"/>
      <c r="D2761" s="475"/>
      <c r="E2761" s="472">
        <f t="shared" si="910"/>
        <v>0</v>
      </c>
      <c r="F2761" s="475">
        <f>IF(C2761="",0,IFERROR(VLOOKUP(COUNTIF($A$1:A2761,"ANALISIS DE PRECIOS"),T_Rendimiento_Equipo,5,FALSE),0))</f>
        <v>0</v>
      </c>
      <c r="G2761" s="472">
        <f t="shared" si="911"/>
        <v>0</v>
      </c>
    </row>
    <row r="2762" spans="1:7" ht="19.899999999999999" customHeight="1">
      <c r="A2762" s="515">
        <f t="shared" si="908"/>
        <v>0</v>
      </c>
      <c r="B2762" s="478">
        <f t="shared" si="909"/>
        <v>0</v>
      </c>
      <c r="C2762" s="469"/>
      <c r="D2762" s="483"/>
      <c r="E2762" s="472">
        <f t="shared" si="910"/>
        <v>0</v>
      </c>
      <c r="F2762" s="475">
        <f>IF(C2762="",0,IFERROR(VLOOKUP(COUNTIF($A$1:A2762,"ANALISIS DE PRECIOS"),T_Rendimiento_Equipo,5,FALSE),0))</f>
        <v>0</v>
      </c>
      <c r="G2762" s="472">
        <f t="shared" si="911"/>
        <v>0</v>
      </c>
    </row>
    <row r="2763" spans="1:7" ht="19.899999999999999" customHeight="1">
      <c r="A2763" s="515">
        <f t="shared" si="908"/>
        <v>0</v>
      </c>
      <c r="B2763" s="478">
        <f t="shared" si="909"/>
        <v>0</v>
      </c>
      <c r="C2763" s="478"/>
      <c r="D2763" s="484"/>
      <c r="E2763" s="472">
        <f t="shared" si="910"/>
        <v>0</v>
      </c>
      <c r="F2763" s="475">
        <f>IF(C2763="",0,IFERROR(VLOOKUP(COUNTIF($A$1:A2763,"ANALISIS DE PRECIOS"),T_Rendimiento_Equipo,5,FALSE),0))</f>
        <v>0</v>
      </c>
      <c r="G2763" s="472">
        <f t="shared" si="911"/>
        <v>0</v>
      </c>
    </row>
    <row r="2764" spans="1:7" ht="19.899999999999999" customHeight="1">
      <c r="A2764" s="516"/>
      <c r="B2764" s="459"/>
      <c r="C2764" s="163"/>
      <c r="D2764" s="459"/>
      <c r="E2764" s="460"/>
      <c r="F2764" s="650" t="s">
        <v>27</v>
      </c>
      <c r="G2764" s="518">
        <f>SUBTOTAL(9,G2757:G2763)</f>
        <v>0</v>
      </c>
    </row>
    <row r="2765" spans="1:7" ht="19.899999999999999" customHeight="1">
      <c r="A2765" s="513"/>
      <c r="B2765" s="163"/>
      <c r="C2765" s="455" t="s">
        <v>1013</v>
      </c>
      <c r="D2765" s="459"/>
      <c r="E2765" s="460"/>
      <c r="F2765" s="461"/>
      <c r="G2765" s="514"/>
    </row>
    <row r="2766" spans="1:7" ht="19.899999999999999" customHeight="1">
      <c r="A2766" s="677" t="s">
        <v>575</v>
      </c>
      <c r="B2766" s="678"/>
      <c r="C2766" s="679" t="s">
        <v>0</v>
      </c>
      <c r="D2766" s="679" t="s">
        <v>1865</v>
      </c>
      <c r="E2766" s="681" t="s">
        <v>23</v>
      </c>
      <c r="F2766" s="683" t="s">
        <v>24</v>
      </c>
      <c r="G2766" s="685" t="s">
        <v>25</v>
      </c>
    </row>
    <row r="2767" spans="1:7" ht="19.899999999999999" customHeight="1">
      <c r="A2767" s="477" t="s">
        <v>576</v>
      </c>
      <c r="B2767" s="477" t="s">
        <v>577</v>
      </c>
      <c r="C2767" s="680"/>
      <c r="D2767" s="680"/>
      <c r="E2767" s="682"/>
      <c r="F2767" s="684"/>
      <c r="G2767" s="686"/>
    </row>
    <row r="2768" spans="1:7" ht="19.899999999999999" customHeight="1">
      <c r="A2768" s="515">
        <f t="shared" ref="A2768:A2778" si="912">IFERROR(VLOOKUP(C2768,T_Insumos,4,FALSE),0)</f>
        <v>0</v>
      </c>
      <c r="B2768" s="478">
        <f t="shared" ref="B2768:B2778" si="913">IFERROR(VLOOKUP(C2768,T_Insumos,5,FALSE),0)</f>
        <v>0</v>
      </c>
      <c r="C2768" s="478"/>
      <c r="D2768" s="526">
        <f t="shared" ref="D2768:D2778" si="914">IFERROR(VLOOKUP(C2768,T_Insumos,2,FALSE),0)</f>
        <v>0</v>
      </c>
      <c r="E2768" s="470"/>
      <c r="F2768" s="472">
        <f t="shared" ref="F2768:F2778" si="915">IFERROR(VLOOKUP(C2768,T_Insumos,3,FALSE),0)</f>
        <v>0</v>
      </c>
      <c r="G2768" s="472">
        <f>ROUND(E2768*F2768,2)</f>
        <v>0</v>
      </c>
    </row>
    <row r="2769" spans="1:7" ht="19.899999999999999" customHeight="1">
      <c r="A2769" s="515">
        <f t="shared" si="912"/>
        <v>0</v>
      </c>
      <c r="B2769" s="478">
        <f t="shared" si="913"/>
        <v>0</v>
      </c>
      <c r="C2769" s="478"/>
      <c r="D2769" s="526">
        <f t="shared" si="914"/>
        <v>0</v>
      </c>
      <c r="E2769" s="470"/>
      <c r="F2769" s="472">
        <f t="shared" si="915"/>
        <v>0</v>
      </c>
      <c r="G2769" s="472">
        <f t="shared" ref="G2769:G2778" si="916">ROUND(E2769*F2769,2)</f>
        <v>0</v>
      </c>
    </row>
    <row r="2770" spans="1:7" ht="19.899999999999999" customHeight="1">
      <c r="A2770" s="515">
        <f t="shared" si="912"/>
        <v>0</v>
      </c>
      <c r="B2770" s="478">
        <f t="shared" si="913"/>
        <v>0</v>
      </c>
      <c r="C2770" s="478"/>
      <c r="D2770" s="526">
        <f t="shared" si="914"/>
        <v>0</v>
      </c>
      <c r="E2770" s="470"/>
      <c r="F2770" s="472">
        <f t="shared" si="915"/>
        <v>0</v>
      </c>
      <c r="G2770" s="472">
        <f t="shared" si="916"/>
        <v>0</v>
      </c>
    </row>
    <row r="2771" spans="1:7" ht="19.899999999999999" customHeight="1">
      <c r="A2771" s="515">
        <f t="shared" si="912"/>
        <v>0</v>
      </c>
      <c r="B2771" s="478">
        <f t="shared" si="913"/>
        <v>0</v>
      </c>
      <c r="C2771" s="478"/>
      <c r="D2771" s="526">
        <f t="shared" si="914"/>
        <v>0</v>
      </c>
      <c r="E2771" s="470"/>
      <c r="F2771" s="472">
        <f t="shared" si="915"/>
        <v>0</v>
      </c>
      <c r="G2771" s="472">
        <f t="shared" si="916"/>
        <v>0</v>
      </c>
    </row>
    <row r="2772" spans="1:7" ht="19.899999999999999" customHeight="1">
      <c r="A2772" s="515">
        <f t="shared" si="912"/>
        <v>0</v>
      </c>
      <c r="B2772" s="478">
        <f t="shared" si="913"/>
        <v>0</v>
      </c>
      <c r="C2772" s="478"/>
      <c r="D2772" s="526">
        <f t="shared" si="914"/>
        <v>0</v>
      </c>
      <c r="E2772" s="470"/>
      <c r="F2772" s="472">
        <f t="shared" si="915"/>
        <v>0</v>
      </c>
      <c r="G2772" s="472">
        <f t="shared" si="916"/>
        <v>0</v>
      </c>
    </row>
    <row r="2773" spans="1:7" ht="19.899999999999999" customHeight="1">
      <c r="A2773" s="515">
        <f t="shared" si="912"/>
        <v>0</v>
      </c>
      <c r="B2773" s="478">
        <f t="shared" si="913"/>
        <v>0</v>
      </c>
      <c r="C2773" s="478"/>
      <c r="D2773" s="526">
        <f t="shared" si="914"/>
        <v>0</v>
      </c>
      <c r="E2773" s="470"/>
      <c r="F2773" s="472">
        <f t="shared" si="915"/>
        <v>0</v>
      </c>
      <c r="G2773" s="472">
        <f t="shared" si="916"/>
        <v>0</v>
      </c>
    </row>
    <row r="2774" spans="1:7" ht="19.899999999999999" customHeight="1">
      <c r="A2774" s="515">
        <f t="shared" si="912"/>
        <v>0</v>
      </c>
      <c r="B2774" s="478">
        <f t="shared" si="913"/>
        <v>0</v>
      </c>
      <c r="C2774" s="478"/>
      <c r="D2774" s="526">
        <f t="shared" si="914"/>
        <v>0</v>
      </c>
      <c r="E2774" s="470"/>
      <c r="F2774" s="472">
        <f t="shared" si="915"/>
        <v>0</v>
      </c>
      <c r="G2774" s="472">
        <f t="shared" si="916"/>
        <v>0</v>
      </c>
    </row>
    <row r="2775" spans="1:7" ht="19.899999999999999" customHeight="1">
      <c r="A2775" s="515">
        <f t="shared" si="912"/>
        <v>0</v>
      </c>
      <c r="B2775" s="478">
        <f t="shared" si="913"/>
        <v>0</v>
      </c>
      <c r="C2775" s="478"/>
      <c r="D2775" s="526">
        <f t="shared" si="914"/>
        <v>0</v>
      </c>
      <c r="E2775" s="470"/>
      <c r="F2775" s="472">
        <f t="shared" si="915"/>
        <v>0</v>
      </c>
      <c r="G2775" s="472">
        <f t="shared" si="916"/>
        <v>0</v>
      </c>
    </row>
    <row r="2776" spans="1:7" ht="19.899999999999999" customHeight="1">
      <c r="A2776" s="515">
        <f t="shared" si="912"/>
        <v>0</v>
      </c>
      <c r="B2776" s="478">
        <f t="shared" si="913"/>
        <v>0</v>
      </c>
      <c r="C2776" s="478"/>
      <c r="D2776" s="526">
        <f t="shared" si="914"/>
        <v>0</v>
      </c>
      <c r="E2776" s="470"/>
      <c r="F2776" s="472">
        <f t="shared" si="915"/>
        <v>0</v>
      </c>
      <c r="G2776" s="472">
        <f t="shared" si="916"/>
        <v>0</v>
      </c>
    </row>
    <row r="2777" spans="1:7" ht="19.899999999999999" customHeight="1">
      <c r="A2777" s="515">
        <f t="shared" si="912"/>
        <v>0</v>
      </c>
      <c r="B2777" s="478">
        <f t="shared" si="913"/>
        <v>0</v>
      </c>
      <c r="C2777" s="478"/>
      <c r="D2777" s="526">
        <f t="shared" si="914"/>
        <v>0</v>
      </c>
      <c r="E2777" s="470"/>
      <c r="F2777" s="472">
        <f t="shared" si="915"/>
        <v>0</v>
      </c>
      <c r="G2777" s="472">
        <f t="shared" si="916"/>
        <v>0</v>
      </c>
    </row>
    <row r="2778" spans="1:7" ht="19.899999999999999" customHeight="1">
      <c r="A2778" s="515">
        <f t="shared" si="912"/>
        <v>0</v>
      </c>
      <c r="B2778" s="478">
        <f t="shared" si="913"/>
        <v>0</v>
      </c>
      <c r="C2778" s="478"/>
      <c r="D2778" s="526">
        <f t="shared" si="914"/>
        <v>0</v>
      </c>
      <c r="E2778" s="470"/>
      <c r="F2778" s="472">
        <f t="shared" si="915"/>
        <v>0</v>
      </c>
      <c r="G2778" s="472">
        <f t="shared" si="916"/>
        <v>0</v>
      </c>
    </row>
    <row r="2779" spans="1:7" ht="19.899999999999999" customHeight="1">
      <c r="A2779" s="513"/>
      <c r="B2779" s="163"/>
      <c r="C2779" s="163"/>
      <c r="D2779" s="459"/>
      <c r="E2779" s="460"/>
      <c r="F2779" s="650" t="s">
        <v>28</v>
      </c>
      <c r="G2779" s="518">
        <f>SUBTOTAL(9,G2768:G2778)</f>
        <v>0</v>
      </c>
    </row>
    <row r="2780" spans="1:7" ht="19.899999999999999" customHeight="1">
      <c r="A2780" s="513"/>
      <c r="B2780" s="163"/>
      <c r="C2780" s="455" t="s">
        <v>1014</v>
      </c>
      <c r="D2780" s="459"/>
      <c r="E2780" s="460"/>
      <c r="F2780" s="461"/>
      <c r="G2780" s="514"/>
    </row>
    <row r="2781" spans="1:7" ht="19.899999999999999" customHeight="1">
      <c r="A2781" s="677" t="s">
        <v>575</v>
      </c>
      <c r="B2781" s="678"/>
      <c r="C2781" s="679" t="s">
        <v>0</v>
      </c>
      <c r="D2781" s="679" t="s">
        <v>1865</v>
      </c>
      <c r="E2781" s="681" t="s">
        <v>23</v>
      </c>
      <c r="F2781" s="683" t="s">
        <v>24</v>
      </c>
      <c r="G2781" s="685" t="s">
        <v>25</v>
      </c>
    </row>
    <row r="2782" spans="1:7" ht="19.899999999999999" customHeight="1">
      <c r="A2782" s="477" t="s">
        <v>576</v>
      </c>
      <c r="B2782" s="477" t="s">
        <v>577</v>
      </c>
      <c r="C2782" s="680"/>
      <c r="D2782" s="680"/>
      <c r="E2782" s="682"/>
      <c r="F2782" s="684"/>
      <c r="G2782" s="686"/>
    </row>
    <row r="2783" spans="1:7" ht="19.899999999999999" customHeight="1">
      <c r="A2783" s="515">
        <f>IFERROR(VLOOKUP(C2783,T_Insumos,4,FALSE),0)</f>
        <v>0</v>
      </c>
      <c r="B2783" s="478">
        <f>IFERROR(VLOOKUP(C2783,T_Insumos,5,FALSE),0)</f>
        <v>0</v>
      </c>
      <c r="C2783" s="469"/>
      <c r="D2783" s="526">
        <f>IF(C2783=0,0,"$/tnkm")</f>
        <v>0</v>
      </c>
      <c r="E2783" s="470"/>
      <c r="F2783" s="472">
        <f>IFERROR(VLOOKUP(C2783,T_Insumos,3,FALSE),0)</f>
        <v>0</v>
      </c>
      <c r="G2783" s="472">
        <f>ROUND(E2783*F2783,2)</f>
        <v>0</v>
      </c>
    </row>
    <row r="2784" spans="1:7" ht="19.899999999999999" customHeight="1">
      <c r="A2784" s="515">
        <f>IFERROR(VLOOKUP(C2784,T_Insumos,4,FALSE),0)</f>
        <v>0</v>
      </c>
      <c r="B2784" s="478">
        <f>IFERROR(VLOOKUP(C2784,T_Insumos,5,FALSE),0)</f>
        <v>0</v>
      </c>
      <c r="C2784" s="469"/>
      <c r="D2784" s="526">
        <f>IF(C2784=0,0,"$/tnkm")</f>
        <v>0</v>
      </c>
      <c r="E2784" s="486"/>
      <c r="F2784" s="472">
        <f>IFERROR(VLOOKUP(C2784,T_Insumos,3,FALSE),0)</f>
        <v>0</v>
      </c>
      <c r="G2784" s="472">
        <f t="shared" ref="G2784" si="917">ROUND(E2784*F2784,2)</f>
        <v>0</v>
      </c>
    </row>
    <row r="2785" spans="1:7" ht="19.899999999999999" customHeight="1">
      <c r="A2785" s="513"/>
      <c r="B2785" s="163"/>
      <c r="C2785" s="163"/>
      <c r="D2785" s="459"/>
      <c r="E2785" s="460"/>
      <c r="F2785" s="650" t="s">
        <v>1015</v>
      </c>
      <c r="G2785" s="518">
        <f>SUBTOTAL(9,G2783:G2784)</f>
        <v>0</v>
      </c>
    </row>
    <row r="2786" spans="1:7" ht="19.899999999999999" customHeight="1">
      <c r="A2786" s="516"/>
      <c r="B2786" s="459"/>
      <c r="C2786" s="163"/>
      <c r="D2786" s="459"/>
      <c r="E2786" s="460"/>
      <c r="F2786" s="461"/>
      <c r="G2786" s="514"/>
    </row>
    <row r="2787" spans="1:7" ht="19.899999999999999" customHeight="1">
      <c r="A2787" s="574" t="str">
        <f>B2721</f>
        <v>6.1.4</v>
      </c>
      <c r="B2787" s="571" t="str">
        <f ca="1">C2721</f>
        <v>Relleno y compactación</v>
      </c>
      <c r="C2787" s="459"/>
      <c r="D2787" s="459" t="s">
        <v>1831</v>
      </c>
      <c r="E2787" s="572"/>
      <c r="F2787" s="573" t="str">
        <f ca="1">"$/"&amp;G2721</f>
        <v>$/m3</v>
      </c>
      <c r="G2787" s="523">
        <f>SUBTOTAL(9,G2744:G2786)</f>
        <v>0</v>
      </c>
    </row>
    <row r="2788" spans="1:7" ht="19.899999999999999" customHeight="1">
      <c r="A2788" s="519"/>
      <c r="B2788" s="520"/>
      <c r="C2788" s="521"/>
      <c r="D2788" s="521" t="s">
        <v>2041</v>
      </c>
      <c r="E2788" s="522"/>
      <c r="F2788" s="575" t="str">
        <f ca="1">"$/"&amp;G2721</f>
        <v>$/m3</v>
      </c>
      <c r="G2788" s="523">
        <f>ROUND(G2787*Coeficiente_Paso,2)</f>
        <v>0</v>
      </c>
    </row>
    <row r="2789" spans="1:7" ht="19.899999999999999" customHeight="1">
      <c r="A2789" s="163"/>
      <c r="B2789" s="163"/>
      <c r="C2789" s="163"/>
      <c r="D2789" s="163"/>
      <c r="E2789" s="163"/>
      <c r="F2789" s="163"/>
      <c r="G2789" s="163"/>
    </row>
    <row r="2790" spans="1:7" ht="19.899999999999999" customHeight="1">
      <c r="A2790" s="687" t="s">
        <v>30</v>
      </c>
      <c r="B2790" s="688"/>
      <c r="C2790" s="688"/>
      <c r="D2790" s="688"/>
      <c r="E2790" s="688"/>
      <c r="F2790" s="688"/>
      <c r="G2790" s="689"/>
    </row>
    <row r="2791" spans="1:7" ht="19.899999999999999" customHeight="1">
      <c r="A2791" s="502" t="s">
        <v>710</v>
      </c>
      <c r="B2791" s="453" t="str">
        <f>Comitente</f>
        <v>DEPARTAMENTO DE HIDRAULICA</v>
      </c>
      <c r="C2791" s="454"/>
      <c r="D2791" s="455"/>
      <c r="E2791" s="455"/>
      <c r="F2791" s="456"/>
      <c r="G2791" s="503"/>
    </row>
    <row r="2792" spans="1:7" ht="19.899999999999999" customHeight="1">
      <c r="A2792" s="502" t="s">
        <v>711</v>
      </c>
      <c r="B2792" s="453">
        <f>Contratista</f>
        <v>0</v>
      </c>
      <c r="C2792" s="457"/>
      <c r="D2792" s="457"/>
      <c r="E2792" s="457"/>
      <c r="F2792" s="453"/>
      <c r="G2792" s="504"/>
    </row>
    <row r="2793" spans="1:7" ht="19.899999999999999" customHeight="1">
      <c r="A2793" s="502" t="s">
        <v>20</v>
      </c>
      <c r="B2793" s="453" t="str">
        <f>Obra</f>
        <v>MEJORA DE LA RED DE RIEGO DEL VALLE DE JÁCHAL</v>
      </c>
      <c r="C2793" s="457"/>
      <c r="D2793" s="457"/>
      <c r="E2793" s="457"/>
      <c r="F2793" s="453" t="s">
        <v>31</v>
      </c>
      <c r="G2793" s="504" t="str">
        <f>Fecha_Base</f>
        <v>XX/07/2020</v>
      </c>
    </row>
    <row r="2794" spans="1:7" ht="19.899999999999999" customHeight="1">
      <c r="A2794" s="505" t="s">
        <v>709</v>
      </c>
      <c r="B2794" s="458" t="str">
        <f>Ubicación</f>
        <v>JACHAL</v>
      </c>
      <c r="C2794" s="458"/>
      <c r="D2794" s="459"/>
      <c r="E2794" s="460"/>
      <c r="F2794" s="461"/>
      <c r="G2794" s="506"/>
    </row>
    <row r="2795" spans="1:7" ht="19.899999999999999" customHeight="1">
      <c r="A2795" s="505" t="s">
        <v>32</v>
      </c>
      <c r="B2795" s="462">
        <f>IFERROR(VALUE(LEFT(B2796,FIND(".",B2796)-1)),"")</f>
        <v>6</v>
      </c>
      <c r="C2795" s="163" t="str">
        <f ca="1">IFERROR(VLOOKUP(B2795,T_Computo_Presupuesto,2,FALSE),0)</f>
        <v>CANAL DEL NORTE</v>
      </c>
      <c r="D2795" s="163"/>
      <c r="E2795" s="460"/>
      <c r="F2795" s="461"/>
      <c r="G2795" s="506"/>
    </row>
    <row r="2796" spans="1:7" ht="19.899999999999999" customHeight="1">
      <c r="A2796" s="505" t="s">
        <v>21</v>
      </c>
      <c r="B2796" s="463" t="str">
        <f>IFERROR(VLOOKUP(COUNTIF($A$1:A2796,"ANALISIS DE PRECIOS"),T_NumeroItem,2,FALSE),"")</f>
        <v>6.1.5</v>
      </c>
      <c r="C2796" s="690" t="str">
        <f ca="1">IFERROR(VLOOKUP(B2796,T_Computo_Presupuesto,2,FALSE),0)</f>
        <v>Hormigon H20</v>
      </c>
      <c r="D2796" s="690"/>
      <c r="E2796" s="690"/>
      <c r="F2796" s="458" t="s">
        <v>22</v>
      </c>
      <c r="G2796" s="507" t="str">
        <f ca="1">IFERROR(VLOOKUP(B2796,T_Computo_Presupuesto,4,FALSE),0)</f>
        <v>m3</v>
      </c>
    </row>
    <row r="2797" spans="1:7" ht="19.899999999999999" customHeight="1">
      <c r="A2797" s="505"/>
      <c r="B2797" s="458"/>
      <c r="C2797" s="163"/>
      <c r="D2797" s="459"/>
      <c r="E2797" s="460"/>
      <c r="F2797" s="163"/>
      <c r="G2797" s="508"/>
    </row>
    <row r="2798" spans="1:7" ht="19.899999999999999" customHeight="1">
      <c r="A2798" s="509"/>
      <c r="B2798" s="464"/>
      <c r="C2798" s="465" t="s">
        <v>998</v>
      </c>
      <c r="D2798" s="464"/>
      <c r="E2798" s="464"/>
      <c r="F2798" s="464"/>
      <c r="G2798" s="510"/>
    </row>
    <row r="2799" spans="1:7" ht="19.899999999999999" customHeight="1">
      <c r="A2799" s="505"/>
      <c r="B2799" s="466"/>
      <c r="C2799" s="163"/>
      <c r="D2799" s="459"/>
      <c r="E2799" s="460"/>
      <c r="F2799" s="458"/>
      <c r="G2799" s="507"/>
    </row>
    <row r="2800" spans="1:7" ht="19.899999999999999" customHeight="1">
      <c r="A2800" s="505"/>
      <c r="B2800" s="466"/>
      <c r="C2800" s="467" t="s">
        <v>999</v>
      </c>
      <c r="D2800" s="468" t="s">
        <v>23</v>
      </c>
      <c r="E2800" s="468" t="s">
        <v>1000</v>
      </c>
      <c r="F2800" s="468" t="s">
        <v>1001</v>
      </c>
      <c r="G2800" s="467" t="s">
        <v>1002</v>
      </c>
    </row>
    <row r="2801" spans="1:7" ht="19.899999999999999" customHeight="1">
      <c r="A2801" s="505"/>
      <c r="B2801" s="466"/>
      <c r="C2801" s="469"/>
      <c r="D2801" s="470"/>
      <c r="E2801" s="471">
        <f t="shared" ref="E2801:E2810" si="918">IFERROR(VLOOKUP(C2801,T_Equipos,4,FALSE),0)</f>
        <v>0</v>
      </c>
      <c r="F2801" s="472">
        <f t="shared" ref="F2801:F2810" si="919">IFERROR(VLOOKUP(C2801,T_Equipos,5,FALSE),0)</f>
        <v>0</v>
      </c>
      <c r="G2801" s="472">
        <f>ROUND(D2801*F2801,2)</f>
        <v>0</v>
      </c>
    </row>
    <row r="2802" spans="1:7" ht="19.899999999999999" customHeight="1">
      <c r="A2802" s="505"/>
      <c r="B2802" s="466"/>
      <c r="C2802" s="469"/>
      <c r="D2802" s="470"/>
      <c r="E2802" s="471">
        <f t="shared" si="918"/>
        <v>0</v>
      </c>
      <c r="F2802" s="472">
        <f t="shared" si="919"/>
        <v>0</v>
      </c>
      <c r="G2802" s="472">
        <f>ROUND(D2802*F2802,2)</f>
        <v>0</v>
      </c>
    </row>
    <row r="2803" spans="1:7" ht="19.899999999999999" customHeight="1">
      <c r="A2803" s="505"/>
      <c r="B2803" s="466"/>
      <c r="C2803" s="469"/>
      <c r="D2803" s="470"/>
      <c r="E2803" s="471">
        <f t="shared" si="918"/>
        <v>0</v>
      </c>
      <c r="F2803" s="472">
        <f t="shared" si="919"/>
        <v>0</v>
      </c>
      <c r="G2803" s="472">
        <f>ROUND(D2803*F2803,2)</f>
        <v>0</v>
      </c>
    </row>
    <row r="2804" spans="1:7" ht="19.899999999999999" customHeight="1">
      <c r="A2804" s="505"/>
      <c r="B2804" s="466"/>
      <c r="C2804" s="469"/>
      <c r="D2804" s="470"/>
      <c r="E2804" s="471">
        <f t="shared" si="918"/>
        <v>0</v>
      </c>
      <c r="F2804" s="472">
        <f t="shared" si="919"/>
        <v>0</v>
      </c>
      <c r="G2804" s="472">
        <f>ROUND(D2804*F2804,2)</f>
        <v>0</v>
      </c>
    </row>
    <row r="2805" spans="1:7" ht="19.899999999999999" customHeight="1">
      <c r="A2805" s="505"/>
      <c r="B2805" s="466"/>
      <c r="C2805" s="469"/>
      <c r="D2805" s="470"/>
      <c r="E2805" s="471">
        <f t="shared" si="918"/>
        <v>0</v>
      </c>
      <c r="F2805" s="472">
        <f t="shared" si="919"/>
        <v>0</v>
      </c>
      <c r="G2805" s="472">
        <f t="shared" ref="G2805:G2810" si="920">ROUND(D2805*F2805,2)</f>
        <v>0</v>
      </c>
    </row>
    <row r="2806" spans="1:7" ht="19.899999999999999" customHeight="1">
      <c r="A2806" s="505"/>
      <c r="B2806" s="466"/>
      <c r="C2806" s="469"/>
      <c r="D2806" s="470"/>
      <c r="E2806" s="471">
        <f t="shared" si="918"/>
        <v>0</v>
      </c>
      <c r="F2806" s="472">
        <f t="shared" si="919"/>
        <v>0</v>
      </c>
      <c r="G2806" s="472">
        <f t="shared" si="920"/>
        <v>0</v>
      </c>
    </row>
    <row r="2807" spans="1:7" ht="19.899999999999999" customHeight="1">
      <c r="A2807" s="505"/>
      <c r="B2807" s="466"/>
      <c r="C2807" s="469"/>
      <c r="D2807" s="470"/>
      <c r="E2807" s="471">
        <f t="shared" si="918"/>
        <v>0</v>
      </c>
      <c r="F2807" s="472">
        <f t="shared" si="919"/>
        <v>0</v>
      </c>
      <c r="G2807" s="472">
        <f t="shared" si="920"/>
        <v>0</v>
      </c>
    </row>
    <row r="2808" spans="1:7" ht="19.899999999999999" customHeight="1">
      <c r="A2808" s="505"/>
      <c r="B2808" s="466"/>
      <c r="C2808" s="469"/>
      <c r="D2808" s="470"/>
      <c r="E2808" s="471">
        <f t="shared" si="918"/>
        <v>0</v>
      </c>
      <c r="F2808" s="472">
        <f t="shared" si="919"/>
        <v>0</v>
      </c>
      <c r="G2808" s="472">
        <f t="shared" si="920"/>
        <v>0</v>
      </c>
    </row>
    <row r="2809" spans="1:7" ht="19.899999999999999" customHeight="1">
      <c r="A2809" s="505"/>
      <c r="B2809" s="466"/>
      <c r="C2809" s="469"/>
      <c r="D2809" s="470"/>
      <c r="E2809" s="471">
        <f t="shared" si="918"/>
        <v>0</v>
      </c>
      <c r="F2809" s="472">
        <f t="shared" si="919"/>
        <v>0</v>
      </c>
      <c r="G2809" s="472">
        <f t="shared" si="920"/>
        <v>0</v>
      </c>
    </row>
    <row r="2810" spans="1:7" ht="19.899999999999999" customHeight="1">
      <c r="A2810" s="505"/>
      <c r="B2810" s="466"/>
      <c r="C2810" s="469"/>
      <c r="D2810" s="470"/>
      <c r="E2810" s="471">
        <f t="shared" si="918"/>
        <v>0</v>
      </c>
      <c r="F2810" s="472">
        <f t="shared" si="919"/>
        <v>0</v>
      </c>
      <c r="G2810" s="472">
        <f t="shared" si="920"/>
        <v>0</v>
      </c>
    </row>
    <row r="2811" spans="1:7" ht="19.899999999999999" customHeight="1">
      <c r="A2811" s="505"/>
      <c r="B2811" s="466"/>
      <c r="C2811" s="163"/>
      <c r="D2811" s="163"/>
      <c r="E2811" s="473"/>
      <c r="F2811" s="458"/>
      <c r="G2811" s="507"/>
    </row>
    <row r="2812" spans="1:7" ht="19.899999999999999" customHeight="1">
      <c r="A2812" s="505"/>
      <c r="B2812" s="163"/>
      <c r="C2812" s="455" t="s">
        <v>1003</v>
      </c>
      <c r="D2812" s="458" t="s">
        <v>1000</v>
      </c>
      <c r="E2812" s="524">
        <f>SUMPRODUCT(D2801:D2810,E2801:E2810)</f>
        <v>0</v>
      </c>
      <c r="F2812" s="458" t="s">
        <v>1004</v>
      </c>
      <c r="G2812" s="525">
        <f>SUM(G2801:G2810)</f>
        <v>0</v>
      </c>
    </row>
    <row r="2813" spans="1:7" ht="19.899999999999999" customHeight="1">
      <c r="A2813" s="505"/>
      <c r="B2813" s="466"/>
      <c r="C2813" s="474"/>
      <c r="D2813" s="473"/>
      <c r="E2813" s="460"/>
      <c r="F2813" s="458"/>
      <c r="G2813" s="511"/>
    </row>
    <row r="2814" spans="1:7" ht="19.899999999999999" customHeight="1">
      <c r="A2814" s="512"/>
      <c r="B2814" s="466"/>
      <c r="C2814" s="458" t="s">
        <v>1005</v>
      </c>
      <c r="D2814" s="475"/>
      <c r="E2814" s="476" t="str">
        <f ca="1">G2796&amp;"/día"</f>
        <v>m3/día</v>
      </c>
      <c r="F2814" s="452"/>
      <c r="G2814" s="507"/>
    </row>
    <row r="2815" spans="1:7" ht="19.899999999999999" customHeight="1">
      <c r="A2815" s="505"/>
      <c r="B2815" s="466"/>
      <c r="C2815" s="163"/>
      <c r="D2815" s="459"/>
      <c r="E2815" s="460"/>
      <c r="F2815" s="458"/>
      <c r="G2815" s="507"/>
    </row>
    <row r="2816" spans="1:7" ht="19.899999999999999" customHeight="1">
      <c r="A2816" s="677" t="s">
        <v>575</v>
      </c>
      <c r="B2816" s="678"/>
      <c r="C2816" s="679" t="s">
        <v>0</v>
      </c>
      <c r="D2816" s="691" t="s">
        <v>1864</v>
      </c>
      <c r="E2816" s="691" t="s">
        <v>1863</v>
      </c>
      <c r="F2816" s="683" t="s">
        <v>1006</v>
      </c>
      <c r="G2816" s="685" t="s">
        <v>25</v>
      </c>
    </row>
    <row r="2817" spans="1:7" ht="19.899999999999999" customHeight="1">
      <c r="A2817" s="477" t="s">
        <v>576</v>
      </c>
      <c r="B2817" s="477" t="s">
        <v>577</v>
      </c>
      <c r="C2817" s="680"/>
      <c r="D2817" s="692"/>
      <c r="E2817" s="682"/>
      <c r="F2817" s="684"/>
      <c r="G2817" s="686"/>
    </row>
    <row r="2818" spans="1:7" ht="19.899999999999999" customHeight="1">
      <c r="A2818" s="513"/>
      <c r="B2818" s="163"/>
      <c r="C2818" s="455" t="s">
        <v>1007</v>
      </c>
      <c r="D2818" s="460"/>
      <c r="E2818" s="460"/>
      <c r="F2818" s="163"/>
      <c r="G2818" s="514"/>
    </row>
    <row r="2819" spans="1:7" ht="19.899999999999999" customHeight="1">
      <c r="A2819" s="515">
        <f t="shared" ref="A2819:A2827" si="921">IFERROR(VLOOKUP(C2819,T_Insumos,4,FALSE),0)</f>
        <v>0</v>
      </c>
      <c r="B2819" s="478">
        <f t="shared" ref="B2819:B2827" si="922">IFERROR(VLOOKUP(C2819,T_Insumos,5,FALSE),0)</f>
        <v>0</v>
      </c>
      <c r="C2819" s="469"/>
      <c r="D2819" s="479">
        <f t="shared" ref="D2819:D2827" si="923">IFERROR(VLOOKUP(C2819,T_Insumos,3,FALSE),0)</f>
        <v>0</v>
      </c>
      <c r="E2819" s="472">
        <f>D2819*$G$23</f>
        <v>0</v>
      </c>
      <c r="F2819" s="475">
        <f>IF(C2819="",0,IFERROR(VLOOKUP(COUNTIF($A$1:A2819,"ANALISIS DE PRECIOS"),T_Rendimiento_Equipo,5,FALSE),0))</f>
        <v>0</v>
      </c>
      <c r="G2819" s="472">
        <f>IFERROR(ROUND(E2819/F2819,2),0)</f>
        <v>0</v>
      </c>
    </row>
    <row r="2820" spans="1:7" ht="19.899999999999999" customHeight="1">
      <c r="A2820" s="515">
        <f t="shared" si="921"/>
        <v>0</v>
      </c>
      <c r="B2820" s="478">
        <f t="shared" si="922"/>
        <v>0</v>
      </c>
      <c r="C2820" s="469"/>
      <c r="D2820" s="479">
        <f t="shared" si="923"/>
        <v>0</v>
      </c>
      <c r="E2820" s="472">
        <f t="shared" ref="E2820:E2827" si="924">D2820*$G$23</f>
        <v>0</v>
      </c>
      <c r="F2820" s="475">
        <f>IF(C2820="",0,IFERROR(VLOOKUP(COUNTIF($A$1:A2820,"ANALISIS DE PRECIOS"),T_Rendimiento_Equipo,5,FALSE),0))</f>
        <v>0</v>
      </c>
      <c r="G2820" s="472">
        <f t="shared" ref="G2820:G2827" si="925">IFERROR(ROUND(E2820/F2820,2),0)</f>
        <v>0</v>
      </c>
    </row>
    <row r="2821" spans="1:7" ht="19.899999999999999" customHeight="1">
      <c r="A2821" s="515">
        <f t="shared" si="921"/>
        <v>0</v>
      </c>
      <c r="B2821" s="478">
        <f t="shared" si="922"/>
        <v>0</v>
      </c>
      <c r="C2821" s="480"/>
      <c r="D2821" s="479">
        <f t="shared" si="923"/>
        <v>0</v>
      </c>
      <c r="E2821" s="472">
        <f t="shared" si="924"/>
        <v>0</v>
      </c>
      <c r="F2821" s="475">
        <f>IF(C2821="",0,IFERROR(VLOOKUP(COUNTIF($A$1:A2821,"ANALISIS DE PRECIOS"),T_Rendimiento_Equipo,5,FALSE),0))</f>
        <v>0</v>
      </c>
      <c r="G2821" s="472">
        <f t="shared" si="925"/>
        <v>0</v>
      </c>
    </row>
    <row r="2822" spans="1:7" ht="19.899999999999999" customHeight="1">
      <c r="A2822" s="515">
        <f t="shared" si="921"/>
        <v>0</v>
      </c>
      <c r="B2822" s="478">
        <f t="shared" si="922"/>
        <v>0</v>
      </c>
      <c r="C2822" s="480"/>
      <c r="D2822" s="479">
        <f t="shared" si="923"/>
        <v>0</v>
      </c>
      <c r="E2822" s="472">
        <f t="shared" si="924"/>
        <v>0</v>
      </c>
      <c r="F2822" s="475">
        <f>IF(C2822="",0,IFERROR(VLOOKUP(COUNTIF($A$1:A2822,"ANALISIS DE PRECIOS"),T_Rendimiento_Equipo,5,FALSE),0))</f>
        <v>0</v>
      </c>
      <c r="G2822" s="472">
        <f t="shared" si="925"/>
        <v>0</v>
      </c>
    </row>
    <row r="2823" spans="1:7" ht="19.899999999999999" customHeight="1">
      <c r="A2823" s="515">
        <f t="shared" si="921"/>
        <v>0</v>
      </c>
      <c r="B2823" s="478">
        <f t="shared" si="922"/>
        <v>0</v>
      </c>
      <c r="C2823" s="480"/>
      <c r="D2823" s="479">
        <f t="shared" si="923"/>
        <v>0</v>
      </c>
      <c r="E2823" s="472">
        <f t="shared" si="924"/>
        <v>0</v>
      </c>
      <c r="F2823" s="475">
        <f>IF(C2823="",0,IFERROR(VLOOKUP(COUNTIF($A$1:A2823,"ANALISIS DE PRECIOS"),T_Rendimiento_Equipo,5,FALSE),0))</f>
        <v>0</v>
      </c>
      <c r="G2823" s="472">
        <f t="shared" si="925"/>
        <v>0</v>
      </c>
    </row>
    <row r="2824" spans="1:7" ht="19.899999999999999" customHeight="1">
      <c r="A2824" s="515">
        <f t="shared" si="921"/>
        <v>0</v>
      </c>
      <c r="B2824" s="478">
        <f t="shared" si="922"/>
        <v>0</v>
      </c>
      <c r="C2824" s="480"/>
      <c r="D2824" s="479">
        <f t="shared" si="923"/>
        <v>0</v>
      </c>
      <c r="E2824" s="472">
        <f t="shared" si="924"/>
        <v>0</v>
      </c>
      <c r="F2824" s="475">
        <f>IF(C2824="",0,IFERROR(VLOOKUP(COUNTIF($A$1:A2824,"ANALISIS DE PRECIOS"),T_Rendimiento_Equipo,5,FALSE),0))</f>
        <v>0</v>
      </c>
      <c r="G2824" s="472">
        <f t="shared" si="925"/>
        <v>0</v>
      </c>
    </row>
    <row r="2825" spans="1:7" ht="19.899999999999999" customHeight="1">
      <c r="A2825" s="515">
        <f t="shared" si="921"/>
        <v>0</v>
      </c>
      <c r="B2825" s="478">
        <f t="shared" si="922"/>
        <v>0</v>
      </c>
      <c r="C2825" s="480"/>
      <c r="D2825" s="479">
        <f t="shared" si="923"/>
        <v>0</v>
      </c>
      <c r="E2825" s="472">
        <f t="shared" si="924"/>
        <v>0</v>
      </c>
      <c r="F2825" s="475">
        <f>IF(C2825="",0,IFERROR(VLOOKUP(COUNTIF($A$1:A2825,"ANALISIS DE PRECIOS"),T_Rendimiento_Equipo,5,FALSE),0))</f>
        <v>0</v>
      </c>
      <c r="G2825" s="472">
        <f t="shared" si="925"/>
        <v>0</v>
      </c>
    </row>
    <row r="2826" spans="1:7" ht="19.899999999999999" customHeight="1">
      <c r="A2826" s="515">
        <f t="shared" si="921"/>
        <v>0</v>
      </c>
      <c r="B2826" s="478">
        <f t="shared" si="922"/>
        <v>0</v>
      </c>
      <c r="C2826" s="480"/>
      <c r="D2826" s="479">
        <f t="shared" si="923"/>
        <v>0</v>
      </c>
      <c r="E2826" s="472">
        <f t="shared" si="924"/>
        <v>0</v>
      </c>
      <c r="F2826" s="475">
        <f>IF(C2826="",0,IFERROR(VLOOKUP(COUNTIF($A$1:A2826,"ANALISIS DE PRECIOS"),T_Rendimiento_Equipo,5,FALSE),0))</f>
        <v>0</v>
      </c>
      <c r="G2826" s="472">
        <f t="shared" si="925"/>
        <v>0</v>
      </c>
    </row>
    <row r="2827" spans="1:7" ht="19.899999999999999" customHeight="1">
      <c r="A2827" s="515">
        <f t="shared" si="921"/>
        <v>0</v>
      </c>
      <c r="B2827" s="478">
        <f t="shared" si="922"/>
        <v>0</v>
      </c>
      <c r="C2827" s="469"/>
      <c r="D2827" s="479">
        <f t="shared" si="923"/>
        <v>0</v>
      </c>
      <c r="E2827" s="472">
        <f t="shared" si="924"/>
        <v>0</v>
      </c>
      <c r="F2827" s="475">
        <f>IF(C2827="",0,IFERROR(VLOOKUP(COUNTIF($A$1:A2827,"ANALISIS DE PRECIOS"),T_Rendimiento_Equipo,5,FALSE),0))</f>
        <v>0</v>
      </c>
      <c r="G2827" s="472">
        <f t="shared" si="925"/>
        <v>0</v>
      </c>
    </row>
    <row r="2828" spans="1:7" ht="19.899999999999999" customHeight="1">
      <c r="A2828" s="516"/>
      <c r="B2828" s="459"/>
      <c r="C2828" s="163"/>
      <c r="D2828" s="459"/>
      <c r="E2828" s="460"/>
      <c r="F2828" s="650" t="s">
        <v>26</v>
      </c>
      <c r="G2828" s="517">
        <f>SUBTOTAL(9,G2819:G2827)</f>
        <v>0</v>
      </c>
    </row>
    <row r="2829" spans="1:7" ht="19.899999999999999" customHeight="1">
      <c r="A2829" s="513"/>
      <c r="B2829" s="163"/>
      <c r="C2829" s="455" t="s">
        <v>712</v>
      </c>
      <c r="D2829" s="459"/>
      <c r="E2829" s="460"/>
      <c r="F2829" s="461"/>
      <c r="G2829" s="514"/>
    </row>
    <row r="2830" spans="1:7" ht="19.899999999999999" customHeight="1">
      <c r="A2830" s="677" t="s">
        <v>575</v>
      </c>
      <c r="B2830" s="678"/>
      <c r="C2830" s="679" t="s">
        <v>0</v>
      </c>
      <c r="D2830" s="681" t="s">
        <v>23</v>
      </c>
      <c r="E2830" s="681" t="s">
        <v>1830</v>
      </c>
      <c r="F2830" s="683" t="s">
        <v>1006</v>
      </c>
      <c r="G2830" s="685" t="s">
        <v>25</v>
      </c>
    </row>
    <row r="2831" spans="1:7" ht="19.899999999999999" customHeight="1">
      <c r="A2831" s="477" t="s">
        <v>576</v>
      </c>
      <c r="B2831" s="477" t="s">
        <v>577</v>
      </c>
      <c r="C2831" s="680"/>
      <c r="D2831" s="682"/>
      <c r="E2831" s="682"/>
      <c r="F2831" s="684"/>
      <c r="G2831" s="686"/>
    </row>
    <row r="2832" spans="1:7" ht="19.899999999999999" customHeight="1">
      <c r="A2832" s="515">
        <f t="shared" ref="A2832:A2838" si="926">IFERROR(VLOOKUP(C2832,T_Insumos,4,FALSE),0)</f>
        <v>0</v>
      </c>
      <c r="B2832" s="478">
        <f t="shared" ref="B2832:B2838" si="927">IFERROR(VLOOKUP(C2832,T_Insumos,5,FALSE),0)</f>
        <v>0</v>
      </c>
      <c r="C2832" s="482"/>
      <c r="D2832" s="475"/>
      <c r="E2832" s="472">
        <f t="shared" ref="E2832:E2838" si="928">IFERROR(VLOOKUP(C2832,T_Insumos,3,FALSE),0)</f>
        <v>0</v>
      </c>
      <c r="F2832" s="475">
        <f>IF(C2832="",0,IFERROR(VLOOKUP(COUNTIF($A$1:A2832,"ANALISIS DE PRECIOS"),T_Rendimiento_Equipo,5,FALSE),0))</f>
        <v>0</v>
      </c>
      <c r="G2832" s="472">
        <f>IFERROR(ROUND(D2832*E2832/F2832,2),0)</f>
        <v>0</v>
      </c>
    </row>
    <row r="2833" spans="1:7" ht="19.899999999999999" customHeight="1">
      <c r="A2833" s="515">
        <f t="shared" si="926"/>
        <v>0</v>
      </c>
      <c r="B2833" s="478">
        <f t="shared" si="927"/>
        <v>0</v>
      </c>
      <c r="C2833" s="469"/>
      <c r="D2833" s="475"/>
      <c r="E2833" s="472">
        <f t="shared" si="928"/>
        <v>0</v>
      </c>
      <c r="F2833" s="475">
        <f>IF(C2833="",0,IFERROR(VLOOKUP(COUNTIF($A$1:A2833,"ANALISIS DE PRECIOS"),T_Rendimiento_Equipo,5,FALSE),0))</f>
        <v>0</v>
      </c>
      <c r="G2833" s="472">
        <f t="shared" ref="G2833:G2838" si="929">IFERROR(ROUND(D2833*E2833/F2833,2),0)</f>
        <v>0</v>
      </c>
    </row>
    <row r="2834" spans="1:7" ht="19.899999999999999" customHeight="1">
      <c r="A2834" s="515">
        <f t="shared" si="926"/>
        <v>0</v>
      </c>
      <c r="B2834" s="478">
        <f t="shared" si="927"/>
        <v>0</v>
      </c>
      <c r="C2834" s="469"/>
      <c r="D2834" s="475"/>
      <c r="E2834" s="472">
        <f t="shared" si="928"/>
        <v>0</v>
      </c>
      <c r="F2834" s="475">
        <f>IF(C2834="",0,IFERROR(VLOOKUP(COUNTIF($A$1:A2834,"ANALISIS DE PRECIOS"),T_Rendimiento_Equipo,5,FALSE),0))</f>
        <v>0</v>
      </c>
      <c r="G2834" s="472">
        <f t="shared" si="929"/>
        <v>0</v>
      </c>
    </row>
    <row r="2835" spans="1:7" ht="19.899999999999999" customHeight="1">
      <c r="A2835" s="515">
        <f t="shared" si="926"/>
        <v>0</v>
      </c>
      <c r="B2835" s="478">
        <f t="shared" si="927"/>
        <v>0</v>
      </c>
      <c r="C2835" s="469"/>
      <c r="D2835" s="475"/>
      <c r="E2835" s="472">
        <f t="shared" si="928"/>
        <v>0</v>
      </c>
      <c r="F2835" s="475">
        <f>IF(C2835="",0,IFERROR(VLOOKUP(COUNTIF($A$1:A2835,"ANALISIS DE PRECIOS"),T_Rendimiento_Equipo,5,FALSE),0))</f>
        <v>0</v>
      </c>
      <c r="G2835" s="472">
        <f t="shared" si="929"/>
        <v>0</v>
      </c>
    </row>
    <row r="2836" spans="1:7" ht="19.899999999999999" customHeight="1">
      <c r="A2836" s="515">
        <f t="shared" si="926"/>
        <v>0</v>
      </c>
      <c r="B2836" s="478">
        <f t="shared" si="927"/>
        <v>0</v>
      </c>
      <c r="C2836" s="469"/>
      <c r="D2836" s="475"/>
      <c r="E2836" s="472">
        <f t="shared" si="928"/>
        <v>0</v>
      </c>
      <c r="F2836" s="475">
        <f>IF(C2836="",0,IFERROR(VLOOKUP(COUNTIF($A$1:A2836,"ANALISIS DE PRECIOS"),T_Rendimiento_Equipo,5,FALSE),0))</f>
        <v>0</v>
      </c>
      <c r="G2836" s="472">
        <f t="shared" si="929"/>
        <v>0</v>
      </c>
    </row>
    <row r="2837" spans="1:7" ht="19.899999999999999" customHeight="1">
      <c r="A2837" s="515">
        <f t="shared" si="926"/>
        <v>0</v>
      </c>
      <c r="B2837" s="478">
        <f t="shared" si="927"/>
        <v>0</v>
      </c>
      <c r="C2837" s="469"/>
      <c r="D2837" s="483"/>
      <c r="E2837" s="472">
        <f t="shared" si="928"/>
        <v>0</v>
      </c>
      <c r="F2837" s="475">
        <f>IF(C2837="",0,IFERROR(VLOOKUP(COUNTIF($A$1:A2837,"ANALISIS DE PRECIOS"),T_Rendimiento_Equipo,5,FALSE),0))</f>
        <v>0</v>
      </c>
      <c r="G2837" s="472">
        <f t="shared" si="929"/>
        <v>0</v>
      </c>
    </row>
    <row r="2838" spans="1:7" ht="19.899999999999999" customHeight="1">
      <c r="A2838" s="515">
        <f t="shared" si="926"/>
        <v>0</v>
      </c>
      <c r="B2838" s="478">
        <f t="shared" si="927"/>
        <v>0</v>
      </c>
      <c r="C2838" s="478"/>
      <c r="D2838" s="484"/>
      <c r="E2838" s="472">
        <f t="shared" si="928"/>
        <v>0</v>
      </c>
      <c r="F2838" s="475">
        <f>IF(C2838="",0,IFERROR(VLOOKUP(COUNTIF($A$1:A2838,"ANALISIS DE PRECIOS"),T_Rendimiento_Equipo,5,FALSE),0))</f>
        <v>0</v>
      </c>
      <c r="G2838" s="472">
        <f t="shared" si="929"/>
        <v>0</v>
      </c>
    </row>
    <row r="2839" spans="1:7" ht="19.899999999999999" customHeight="1">
      <c r="A2839" s="516"/>
      <c r="B2839" s="459"/>
      <c r="C2839" s="163"/>
      <c r="D2839" s="459"/>
      <c r="E2839" s="460"/>
      <c r="F2839" s="650" t="s">
        <v>27</v>
      </c>
      <c r="G2839" s="518">
        <f>SUBTOTAL(9,G2832:G2838)</f>
        <v>0</v>
      </c>
    </row>
    <row r="2840" spans="1:7" ht="19.899999999999999" customHeight="1">
      <c r="A2840" s="513"/>
      <c r="B2840" s="163"/>
      <c r="C2840" s="455" t="s">
        <v>1013</v>
      </c>
      <c r="D2840" s="459"/>
      <c r="E2840" s="460"/>
      <c r="F2840" s="461"/>
      <c r="G2840" s="514"/>
    </row>
    <row r="2841" spans="1:7" ht="19.899999999999999" customHeight="1">
      <c r="A2841" s="677" t="s">
        <v>575</v>
      </c>
      <c r="B2841" s="678"/>
      <c r="C2841" s="679" t="s">
        <v>0</v>
      </c>
      <c r="D2841" s="679" t="s">
        <v>1865</v>
      </c>
      <c r="E2841" s="681" t="s">
        <v>23</v>
      </c>
      <c r="F2841" s="683" t="s">
        <v>24</v>
      </c>
      <c r="G2841" s="685" t="s">
        <v>25</v>
      </c>
    </row>
    <row r="2842" spans="1:7" ht="19.899999999999999" customHeight="1">
      <c r="A2842" s="477" t="s">
        <v>576</v>
      </c>
      <c r="B2842" s="477" t="s">
        <v>577</v>
      </c>
      <c r="C2842" s="680"/>
      <c r="D2842" s="680"/>
      <c r="E2842" s="682"/>
      <c r="F2842" s="684"/>
      <c r="G2842" s="686"/>
    </row>
    <row r="2843" spans="1:7" ht="19.899999999999999" customHeight="1">
      <c r="A2843" s="515">
        <f t="shared" ref="A2843:A2853" si="930">IFERROR(VLOOKUP(C2843,T_Insumos,4,FALSE),0)</f>
        <v>0</v>
      </c>
      <c r="B2843" s="478">
        <f t="shared" ref="B2843:B2853" si="931">IFERROR(VLOOKUP(C2843,T_Insumos,5,FALSE),0)</f>
        <v>0</v>
      </c>
      <c r="C2843" s="478"/>
      <c r="D2843" s="526">
        <f t="shared" ref="D2843:D2853" si="932">IFERROR(VLOOKUP(C2843,T_Insumos,2,FALSE),0)</f>
        <v>0</v>
      </c>
      <c r="E2843" s="470"/>
      <c r="F2843" s="472">
        <f t="shared" ref="F2843:F2853" si="933">IFERROR(VLOOKUP(C2843,T_Insumos,3,FALSE),0)</f>
        <v>0</v>
      </c>
      <c r="G2843" s="472">
        <f>ROUND(E2843*F2843,2)</f>
        <v>0</v>
      </c>
    </row>
    <row r="2844" spans="1:7" ht="19.899999999999999" customHeight="1">
      <c r="A2844" s="515">
        <f t="shared" si="930"/>
        <v>0</v>
      </c>
      <c r="B2844" s="478">
        <f t="shared" si="931"/>
        <v>0</v>
      </c>
      <c r="C2844" s="478"/>
      <c r="D2844" s="526">
        <f t="shared" si="932"/>
        <v>0</v>
      </c>
      <c r="E2844" s="470"/>
      <c r="F2844" s="472">
        <f t="shared" si="933"/>
        <v>0</v>
      </c>
      <c r="G2844" s="472">
        <f t="shared" ref="G2844:G2853" si="934">ROUND(E2844*F2844,2)</f>
        <v>0</v>
      </c>
    </row>
    <row r="2845" spans="1:7" ht="19.899999999999999" customHeight="1">
      <c r="A2845" s="515">
        <f t="shared" si="930"/>
        <v>0</v>
      </c>
      <c r="B2845" s="478">
        <f t="shared" si="931"/>
        <v>0</v>
      </c>
      <c r="C2845" s="478"/>
      <c r="D2845" s="526">
        <f t="shared" si="932"/>
        <v>0</v>
      </c>
      <c r="E2845" s="470"/>
      <c r="F2845" s="472">
        <f t="shared" si="933"/>
        <v>0</v>
      </c>
      <c r="G2845" s="472">
        <f t="shared" si="934"/>
        <v>0</v>
      </c>
    </row>
    <row r="2846" spans="1:7" ht="19.899999999999999" customHeight="1">
      <c r="A2846" s="515">
        <f t="shared" si="930"/>
        <v>0</v>
      </c>
      <c r="B2846" s="478">
        <f t="shared" si="931"/>
        <v>0</v>
      </c>
      <c r="C2846" s="478"/>
      <c r="D2846" s="526">
        <f t="shared" si="932"/>
        <v>0</v>
      </c>
      <c r="E2846" s="470"/>
      <c r="F2846" s="472">
        <f t="shared" si="933"/>
        <v>0</v>
      </c>
      <c r="G2846" s="472">
        <f t="shared" si="934"/>
        <v>0</v>
      </c>
    </row>
    <row r="2847" spans="1:7" ht="19.899999999999999" customHeight="1">
      <c r="A2847" s="515">
        <f t="shared" si="930"/>
        <v>0</v>
      </c>
      <c r="B2847" s="478">
        <f t="shared" si="931"/>
        <v>0</v>
      </c>
      <c r="C2847" s="478"/>
      <c r="D2847" s="526">
        <f t="shared" si="932"/>
        <v>0</v>
      </c>
      <c r="E2847" s="470"/>
      <c r="F2847" s="472">
        <f t="shared" si="933"/>
        <v>0</v>
      </c>
      <c r="G2847" s="472">
        <f t="shared" si="934"/>
        <v>0</v>
      </c>
    </row>
    <row r="2848" spans="1:7" ht="19.899999999999999" customHeight="1">
      <c r="A2848" s="515">
        <f t="shared" si="930"/>
        <v>0</v>
      </c>
      <c r="B2848" s="478">
        <f t="shared" si="931"/>
        <v>0</v>
      </c>
      <c r="C2848" s="478"/>
      <c r="D2848" s="526">
        <f t="shared" si="932"/>
        <v>0</v>
      </c>
      <c r="E2848" s="470"/>
      <c r="F2848" s="472">
        <f t="shared" si="933"/>
        <v>0</v>
      </c>
      <c r="G2848" s="472">
        <f t="shared" si="934"/>
        <v>0</v>
      </c>
    </row>
    <row r="2849" spans="1:7" ht="19.899999999999999" customHeight="1">
      <c r="A2849" s="515">
        <f t="shared" si="930"/>
        <v>0</v>
      </c>
      <c r="B2849" s="478">
        <f t="shared" si="931"/>
        <v>0</v>
      </c>
      <c r="C2849" s="478"/>
      <c r="D2849" s="526">
        <f t="shared" si="932"/>
        <v>0</v>
      </c>
      <c r="E2849" s="470"/>
      <c r="F2849" s="472">
        <f t="shared" si="933"/>
        <v>0</v>
      </c>
      <c r="G2849" s="472">
        <f t="shared" si="934"/>
        <v>0</v>
      </c>
    </row>
    <row r="2850" spans="1:7" ht="19.899999999999999" customHeight="1">
      <c r="A2850" s="515">
        <f t="shared" si="930"/>
        <v>0</v>
      </c>
      <c r="B2850" s="478">
        <f t="shared" si="931"/>
        <v>0</v>
      </c>
      <c r="C2850" s="478"/>
      <c r="D2850" s="526">
        <f t="shared" si="932"/>
        <v>0</v>
      </c>
      <c r="E2850" s="470"/>
      <c r="F2850" s="472">
        <f t="shared" si="933"/>
        <v>0</v>
      </c>
      <c r="G2850" s="472">
        <f t="shared" si="934"/>
        <v>0</v>
      </c>
    </row>
    <row r="2851" spans="1:7" ht="19.899999999999999" customHeight="1">
      <c r="A2851" s="515">
        <f t="shared" si="930"/>
        <v>0</v>
      </c>
      <c r="B2851" s="478">
        <f t="shared" si="931"/>
        <v>0</v>
      </c>
      <c r="C2851" s="478"/>
      <c r="D2851" s="526">
        <f t="shared" si="932"/>
        <v>0</v>
      </c>
      <c r="E2851" s="470"/>
      <c r="F2851" s="472">
        <f t="shared" si="933"/>
        <v>0</v>
      </c>
      <c r="G2851" s="472">
        <f t="shared" si="934"/>
        <v>0</v>
      </c>
    </row>
    <row r="2852" spans="1:7" ht="19.899999999999999" customHeight="1">
      <c r="A2852" s="515">
        <f t="shared" si="930"/>
        <v>0</v>
      </c>
      <c r="B2852" s="478">
        <f t="shared" si="931"/>
        <v>0</v>
      </c>
      <c r="C2852" s="478"/>
      <c r="D2852" s="526">
        <f t="shared" si="932"/>
        <v>0</v>
      </c>
      <c r="E2852" s="470"/>
      <c r="F2852" s="472">
        <f t="shared" si="933"/>
        <v>0</v>
      </c>
      <c r="G2852" s="472">
        <f t="shared" si="934"/>
        <v>0</v>
      </c>
    </row>
    <row r="2853" spans="1:7" ht="19.899999999999999" customHeight="1">
      <c r="A2853" s="515">
        <f t="shared" si="930"/>
        <v>0</v>
      </c>
      <c r="B2853" s="478">
        <f t="shared" si="931"/>
        <v>0</v>
      </c>
      <c r="C2853" s="478"/>
      <c r="D2853" s="526">
        <f t="shared" si="932"/>
        <v>0</v>
      </c>
      <c r="E2853" s="470"/>
      <c r="F2853" s="472">
        <f t="shared" si="933"/>
        <v>0</v>
      </c>
      <c r="G2853" s="472">
        <f t="shared" si="934"/>
        <v>0</v>
      </c>
    </row>
    <row r="2854" spans="1:7" ht="19.899999999999999" customHeight="1">
      <c r="A2854" s="513"/>
      <c r="B2854" s="163"/>
      <c r="C2854" s="163"/>
      <c r="D2854" s="459"/>
      <c r="E2854" s="460"/>
      <c r="F2854" s="650" t="s">
        <v>28</v>
      </c>
      <c r="G2854" s="518">
        <f>SUBTOTAL(9,G2843:G2853)</f>
        <v>0</v>
      </c>
    </row>
    <row r="2855" spans="1:7" ht="19.899999999999999" customHeight="1">
      <c r="A2855" s="513"/>
      <c r="B2855" s="163"/>
      <c r="C2855" s="455" t="s">
        <v>1014</v>
      </c>
      <c r="D2855" s="459"/>
      <c r="E2855" s="460"/>
      <c r="F2855" s="461"/>
      <c r="G2855" s="514"/>
    </row>
    <row r="2856" spans="1:7" ht="19.899999999999999" customHeight="1">
      <c r="A2856" s="677" t="s">
        <v>575</v>
      </c>
      <c r="B2856" s="678"/>
      <c r="C2856" s="679" t="s">
        <v>0</v>
      </c>
      <c r="D2856" s="679" t="s">
        <v>1865</v>
      </c>
      <c r="E2856" s="681" t="s">
        <v>23</v>
      </c>
      <c r="F2856" s="683" t="s">
        <v>24</v>
      </c>
      <c r="G2856" s="685" t="s">
        <v>25</v>
      </c>
    </row>
    <row r="2857" spans="1:7" ht="19.899999999999999" customHeight="1">
      <c r="A2857" s="477" t="s">
        <v>576</v>
      </c>
      <c r="B2857" s="477" t="s">
        <v>577</v>
      </c>
      <c r="C2857" s="680"/>
      <c r="D2857" s="680"/>
      <c r="E2857" s="682"/>
      <c r="F2857" s="684"/>
      <c r="G2857" s="686"/>
    </row>
    <row r="2858" spans="1:7" ht="19.899999999999999" customHeight="1">
      <c r="A2858" s="515">
        <f>IFERROR(VLOOKUP(C2858,T_Insumos,4,FALSE),0)</f>
        <v>0</v>
      </c>
      <c r="B2858" s="478">
        <f>IFERROR(VLOOKUP(C2858,T_Insumos,5,FALSE),0)</f>
        <v>0</v>
      </c>
      <c r="C2858" s="469"/>
      <c r="D2858" s="526">
        <f>IF(C2858=0,0,"$/tnkm")</f>
        <v>0</v>
      </c>
      <c r="E2858" s="470"/>
      <c r="F2858" s="472">
        <f>IFERROR(VLOOKUP(C2858,T_Insumos,3,FALSE),0)</f>
        <v>0</v>
      </c>
      <c r="G2858" s="472">
        <f>ROUND(E2858*F2858,2)</f>
        <v>0</v>
      </c>
    </row>
    <row r="2859" spans="1:7" ht="19.899999999999999" customHeight="1">
      <c r="A2859" s="515">
        <f>IFERROR(VLOOKUP(C2859,T_Insumos,4,FALSE),0)</f>
        <v>0</v>
      </c>
      <c r="B2859" s="478">
        <f>IFERROR(VLOOKUP(C2859,T_Insumos,5,FALSE),0)</f>
        <v>0</v>
      </c>
      <c r="C2859" s="469"/>
      <c r="D2859" s="526">
        <f>IF(C2859=0,0,"$/tnkm")</f>
        <v>0</v>
      </c>
      <c r="E2859" s="486"/>
      <c r="F2859" s="472">
        <f>IFERROR(VLOOKUP(C2859,T_Insumos,3,FALSE),0)</f>
        <v>0</v>
      </c>
      <c r="G2859" s="472">
        <f t="shared" ref="G2859" si="935">ROUND(E2859*F2859,2)</f>
        <v>0</v>
      </c>
    </row>
    <row r="2860" spans="1:7" ht="19.899999999999999" customHeight="1">
      <c r="A2860" s="513"/>
      <c r="B2860" s="163"/>
      <c r="C2860" s="163"/>
      <c r="D2860" s="459"/>
      <c r="E2860" s="460"/>
      <c r="F2860" s="650" t="s">
        <v>1015</v>
      </c>
      <c r="G2860" s="518">
        <f>SUBTOTAL(9,G2858:G2859)</f>
        <v>0</v>
      </c>
    </row>
    <row r="2861" spans="1:7" ht="19.899999999999999" customHeight="1">
      <c r="A2861" s="516"/>
      <c r="B2861" s="459"/>
      <c r="C2861" s="163"/>
      <c r="D2861" s="459"/>
      <c r="E2861" s="460"/>
      <c r="F2861" s="461"/>
      <c r="G2861" s="514"/>
    </row>
    <row r="2862" spans="1:7" ht="19.899999999999999" customHeight="1">
      <c r="A2862" s="574" t="str">
        <f>B2796</f>
        <v>6.1.5</v>
      </c>
      <c r="B2862" s="571" t="str">
        <f ca="1">C2796</f>
        <v>Hormigon H20</v>
      </c>
      <c r="C2862" s="459"/>
      <c r="D2862" s="459" t="s">
        <v>1831</v>
      </c>
      <c r="E2862" s="572"/>
      <c r="F2862" s="573" t="str">
        <f ca="1">"$/"&amp;G2796</f>
        <v>$/m3</v>
      </c>
      <c r="G2862" s="523">
        <f>SUBTOTAL(9,G2819:G2861)</f>
        <v>0</v>
      </c>
    </row>
    <row r="2863" spans="1:7" ht="19.899999999999999" customHeight="1">
      <c r="A2863" s="519"/>
      <c r="B2863" s="520"/>
      <c r="C2863" s="521"/>
      <c r="D2863" s="521" t="s">
        <v>2041</v>
      </c>
      <c r="E2863" s="522"/>
      <c r="F2863" s="575" t="str">
        <f ca="1">"$/"&amp;G2796</f>
        <v>$/m3</v>
      </c>
      <c r="G2863" s="523">
        <f>ROUND(G2862*Coeficiente_Paso,2)</f>
        <v>0</v>
      </c>
    </row>
    <row r="2864" spans="1:7" ht="19.899999999999999" customHeight="1">
      <c r="A2864" s="163"/>
      <c r="B2864" s="163"/>
      <c r="C2864" s="163"/>
      <c r="D2864" s="163"/>
      <c r="E2864" s="163"/>
      <c r="F2864" s="163"/>
      <c r="G2864" s="163"/>
    </row>
    <row r="2865" spans="1:7" ht="19.899999999999999" customHeight="1">
      <c r="A2865" s="687" t="s">
        <v>30</v>
      </c>
      <c r="B2865" s="688"/>
      <c r="C2865" s="688"/>
      <c r="D2865" s="688"/>
      <c r="E2865" s="688"/>
      <c r="F2865" s="688"/>
      <c r="G2865" s="689"/>
    </row>
    <row r="2866" spans="1:7" ht="19.899999999999999" customHeight="1">
      <c r="A2866" s="502" t="s">
        <v>710</v>
      </c>
      <c r="B2866" s="453" t="str">
        <f>Comitente</f>
        <v>DEPARTAMENTO DE HIDRAULICA</v>
      </c>
      <c r="C2866" s="454"/>
      <c r="D2866" s="455"/>
      <c r="E2866" s="455"/>
      <c r="F2866" s="456"/>
      <c r="G2866" s="503"/>
    </row>
    <row r="2867" spans="1:7" ht="19.899999999999999" customHeight="1">
      <c r="A2867" s="502" t="s">
        <v>711</v>
      </c>
      <c r="B2867" s="453">
        <f>Contratista</f>
        <v>0</v>
      </c>
      <c r="C2867" s="457"/>
      <c r="D2867" s="457"/>
      <c r="E2867" s="457"/>
      <c r="F2867" s="453"/>
      <c r="G2867" s="504"/>
    </row>
    <row r="2868" spans="1:7" ht="19.899999999999999" customHeight="1">
      <c r="A2868" s="502" t="s">
        <v>20</v>
      </c>
      <c r="B2868" s="453" t="str">
        <f>Obra</f>
        <v>MEJORA DE LA RED DE RIEGO DEL VALLE DE JÁCHAL</v>
      </c>
      <c r="C2868" s="457"/>
      <c r="D2868" s="457"/>
      <c r="E2868" s="457"/>
      <c r="F2868" s="453" t="s">
        <v>31</v>
      </c>
      <c r="G2868" s="504" t="str">
        <f>Fecha_Base</f>
        <v>XX/07/2020</v>
      </c>
    </row>
    <row r="2869" spans="1:7" ht="19.899999999999999" customHeight="1">
      <c r="A2869" s="505" t="s">
        <v>709</v>
      </c>
      <c r="B2869" s="458" t="str">
        <f>Ubicación</f>
        <v>JACHAL</v>
      </c>
      <c r="C2869" s="458"/>
      <c r="D2869" s="459"/>
      <c r="E2869" s="460"/>
      <c r="F2869" s="461"/>
      <c r="G2869" s="506"/>
    </row>
    <row r="2870" spans="1:7" ht="19.899999999999999" customHeight="1">
      <c r="A2870" s="505" t="s">
        <v>32</v>
      </c>
      <c r="B2870" s="462">
        <f>IFERROR(VALUE(LEFT(B2871,FIND(".",B2871)-1)),"")</f>
        <v>6</v>
      </c>
      <c r="C2870" s="163" t="str">
        <f ca="1">IFERROR(VLOOKUP(B2870,T_Computo_Presupuesto,2,FALSE),0)</f>
        <v>CANAL DEL NORTE</v>
      </c>
      <c r="D2870" s="163"/>
      <c r="E2870" s="460"/>
      <c r="F2870" s="461"/>
      <c r="G2870" s="506"/>
    </row>
    <row r="2871" spans="1:7" ht="19.899999999999999" customHeight="1">
      <c r="A2871" s="505" t="s">
        <v>21</v>
      </c>
      <c r="B2871" s="463" t="str">
        <f>IFERROR(VLOOKUP(COUNTIF($A$1:A2871,"ANALISIS DE PRECIOS"),T_NumeroItem,2,FALSE),"")</f>
        <v>6.1.6</v>
      </c>
      <c r="C2871" s="690" t="str">
        <f ca="1">IFERROR(VLOOKUP(B2871,T_Computo_Presupuesto,2,FALSE),0)</f>
        <v>Malla de acero</v>
      </c>
      <c r="D2871" s="690"/>
      <c r="E2871" s="690"/>
      <c r="F2871" s="458" t="s">
        <v>22</v>
      </c>
      <c r="G2871" s="507" t="str">
        <f ca="1">IFERROR(VLOOKUP(B2871,T_Computo_Presupuesto,4,FALSE),0)</f>
        <v>kg</v>
      </c>
    </row>
    <row r="2872" spans="1:7" ht="19.899999999999999" customHeight="1">
      <c r="A2872" s="505"/>
      <c r="B2872" s="458"/>
      <c r="C2872" s="163"/>
      <c r="D2872" s="459"/>
      <c r="E2872" s="460"/>
      <c r="F2872" s="163"/>
      <c r="G2872" s="508"/>
    </row>
    <row r="2873" spans="1:7" ht="19.899999999999999" customHeight="1">
      <c r="A2873" s="509"/>
      <c r="B2873" s="464"/>
      <c r="C2873" s="465" t="s">
        <v>998</v>
      </c>
      <c r="D2873" s="464"/>
      <c r="E2873" s="464"/>
      <c r="F2873" s="464"/>
      <c r="G2873" s="510"/>
    </row>
    <row r="2874" spans="1:7" ht="19.899999999999999" customHeight="1">
      <c r="A2874" s="505"/>
      <c r="B2874" s="466"/>
      <c r="C2874" s="163"/>
      <c r="D2874" s="459"/>
      <c r="E2874" s="460"/>
      <c r="F2874" s="458"/>
      <c r="G2874" s="507"/>
    </row>
    <row r="2875" spans="1:7" ht="19.899999999999999" customHeight="1">
      <c r="A2875" s="505"/>
      <c r="B2875" s="466"/>
      <c r="C2875" s="467" t="s">
        <v>999</v>
      </c>
      <c r="D2875" s="468" t="s">
        <v>23</v>
      </c>
      <c r="E2875" s="468" t="s">
        <v>1000</v>
      </c>
      <c r="F2875" s="468" t="s">
        <v>1001</v>
      </c>
      <c r="G2875" s="467" t="s">
        <v>1002</v>
      </c>
    </row>
    <row r="2876" spans="1:7" ht="19.899999999999999" customHeight="1">
      <c r="A2876" s="505"/>
      <c r="B2876" s="466"/>
      <c r="C2876" s="469"/>
      <c r="D2876" s="470"/>
      <c r="E2876" s="471">
        <f t="shared" ref="E2876:E2885" si="936">IFERROR(VLOOKUP(C2876,T_Equipos,4,FALSE),0)</f>
        <v>0</v>
      </c>
      <c r="F2876" s="472">
        <f t="shared" ref="F2876:F2885" si="937">IFERROR(VLOOKUP(C2876,T_Equipos,5,FALSE),0)</f>
        <v>0</v>
      </c>
      <c r="G2876" s="472">
        <f>ROUND(D2876*F2876,2)</f>
        <v>0</v>
      </c>
    </row>
    <row r="2877" spans="1:7" ht="19.899999999999999" customHeight="1">
      <c r="A2877" s="505"/>
      <c r="B2877" s="466"/>
      <c r="C2877" s="469"/>
      <c r="D2877" s="470"/>
      <c r="E2877" s="471">
        <f t="shared" si="936"/>
        <v>0</v>
      </c>
      <c r="F2877" s="472">
        <f t="shared" si="937"/>
        <v>0</v>
      </c>
      <c r="G2877" s="472">
        <f>ROUND(D2877*F2877,2)</f>
        <v>0</v>
      </c>
    </row>
    <row r="2878" spans="1:7" ht="19.899999999999999" customHeight="1">
      <c r="A2878" s="505"/>
      <c r="B2878" s="466"/>
      <c r="C2878" s="469"/>
      <c r="D2878" s="470"/>
      <c r="E2878" s="471">
        <f t="shared" si="936"/>
        <v>0</v>
      </c>
      <c r="F2878" s="472">
        <f t="shared" si="937"/>
        <v>0</v>
      </c>
      <c r="G2878" s="472">
        <f>ROUND(D2878*F2878,2)</f>
        <v>0</v>
      </c>
    </row>
    <row r="2879" spans="1:7" ht="19.899999999999999" customHeight="1">
      <c r="A2879" s="505"/>
      <c r="B2879" s="466"/>
      <c r="C2879" s="469"/>
      <c r="D2879" s="470"/>
      <c r="E2879" s="471">
        <f t="shared" si="936"/>
        <v>0</v>
      </c>
      <c r="F2879" s="472">
        <f t="shared" si="937"/>
        <v>0</v>
      </c>
      <c r="G2879" s="472">
        <f>ROUND(D2879*F2879,2)</f>
        <v>0</v>
      </c>
    </row>
    <row r="2880" spans="1:7" ht="19.899999999999999" customHeight="1">
      <c r="A2880" s="505"/>
      <c r="B2880" s="466"/>
      <c r="C2880" s="469"/>
      <c r="D2880" s="470"/>
      <c r="E2880" s="471">
        <f t="shared" si="936"/>
        <v>0</v>
      </c>
      <c r="F2880" s="472">
        <f t="shared" si="937"/>
        <v>0</v>
      </c>
      <c r="G2880" s="472">
        <f t="shared" ref="G2880:G2885" si="938">ROUND(D2880*F2880,2)</f>
        <v>0</v>
      </c>
    </row>
    <row r="2881" spans="1:7" ht="19.899999999999999" customHeight="1">
      <c r="A2881" s="505"/>
      <c r="B2881" s="466"/>
      <c r="C2881" s="469"/>
      <c r="D2881" s="470"/>
      <c r="E2881" s="471">
        <f t="shared" si="936"/>
        <v>0</v>
      </c>
      <c r="F2881" s="472">
        <f t="shared" si="937"/>
        <v>0</v>
      </c>
      <c r="G2881" s="472">
        <f t="shared" si="938"/>
        <v>0</v>
      </c>
    </row>
    <row r="2882" spans="1:7" ht="19.899999999999999" customHeight="1">
      <c r="A2882" s="505"/>
      <c r="B2882" s="466"/>
      <c r="C2882" s="469"/>
      <c r="D2882" s="470"/>
      <c r="E2882" s="471">
        <f t="shared" si="936"/>
        <v>0</v>
      </c>
      <c r="F2882" s="472">
        <f t="shared" si="937"/>
        <v>0</v>
      </c>
      <c r="G2882" s="472">
        <f t="shared" si="938"/>
        <v>0</v>
      </c>
    </row>
    <row r="2883" spans="1:7" ht="19.899999999999999" customHeight="1">
      <c r="A2883" s="505"/>
      <c r="B2883" s="466"/>
      <c r="C2883" s="469"/>
      <c r="D2883" s="470"/>
      <c r="E2883" s="471">
        <f t="shared" si="936"/>
        <v>0</v>
      </c>
      <c r="F2883" s="472">
        <f t="shared" si="937"/>
        <v>0</v>
      </c>
      <c r="G2883" s="472">
        <f t="shared" si="938"/>
        <v>0</v>
      </c>
    </row>
    <row r="2884" spans="1:7" ht="19.899999999999999" customHeight="1">
      <c r="A2884" s="505"/>
      <c r="B2884" s="466"/>
      <c r="C2884" s="469"/>
      <c r="D2884" s="470"/>
      <c r="E2884" s="471">
        <f t="shared" si="936"/>
        <v>0</v>
      </c>
      <c r="F2884" s="472">
        <f t="shared" si="937"/>
        <v>0</v>
      </c>
      <c r="G2884" s="472">
        <f t="shared" si="938"/>
        <v>0</v>
      </c>
    </row>
    <row r="2885" spans="1:7" ht="19.899999999999999" customHeight="1">
      <c r="A2885" s="505"/>
      <c r="B2885" s="466"/>
      <c r="C2885" s="469"/>
      <c r="D2885" s="470"/>
      <c r="E2885" s="471">
        <f t="shared" si="936"/>
        <v>0</v>
      </c>
      <c r="F2885" s="472">
        <f t="shared" si="937"/>
        <v>0</v>
      </c>
      <c r="G2885" s="472">
        <f t="shared" si="938"/>
        <v>0</v>
      </c>
    </row>
    <row r="2886" spans="1:7" ht="19.899999999999999" customHeight="1">
      <c r="A2886" s="505"/>
      <c r="B2886" s="466"/>
      <c r="C2886" s="163"/>
      <c r="D2886" s="163"/>
      <c r="E2886" s="473"/>
      <c r="F2886" s="458"/>
      <c r="G2886" s="507"/>
    </row>
    <row r="2887" spans="1:7" ht="19.899999999999999" customHeight="1">
      <c r="A2887" s="505"/>
      <c r="B2887" s="163"/>
      <c r="C2887" s="455" t="s">
        <v>1003</v>
      </c>
      <c r="D2887" s="458" t="s">
        <v>1000</v>
      </c>
      <c r="E2887" s="524">
        <f>SUMPRODUCT(D2876:D2885,E2876:E2885)</f>
        <v>0</v>
      </c>
      <c r="F2887" s="458" t="s">
        <v>1004</v>
      </c>
      <c r="G2887" s="525">
        <f>SUM(G2876:G2885)</f>
        <v>0</v>
      </c>
    </row>
    <row r="2888" spans="1:7" ht="19.899999999999999" customHeight="1">
      <c r="A2888" s="505"/>
      <c r="B2888" s="466"/>
      <c r="C2888" s="474"/>
      <c r="D2888" s="473"/>
      <c r="E2888" s="460"/>
      <c r="F2888" s="458"/>
      <c r="G2888" s="511"/>
    </row>
    <row r="2889" spans="1:7" ht="19.899999999999999" customHeight="1">
      <c r="A2889" s="512"/>
      <c r="B2889" s="466"/>
      <c r="C2889" s="458" t="s">
        <v>1005</v>
      </c>
      <c r="D2889" s="475"/>
      <c r="E2889" s="476" t="str">
        <f ca="1">G2871&amp;"/día"</f>
        <v>kg/día</v>
      </c>
      <c r="F2889" s="452"/>
      <c r="G2889" s="507"/>
    </row>
    <row r="2890" spans="1:7" ht="19.899999999999999" customHeight="1">
      <c r="A2890" s="505"/>
      <c r="B2890" s="466"/>
      <c r="C2890" s="163"/>
      <c r="D2890" s="459"/>
      <c r="E2890" s="460"/>
      <c r="F2890" s="458"/>
      <c r="G2890" s="507"/>
    </row>
    <row r="2891" spans="1:7" ht="19.899999999999999" customHeight="1">
      <c r="A2891" s="677" t="s">
        <v>575</v>
      </c>
      <c r="B2891" s="678"/>
      <c r="C2891" s="679" t="s">
        <v>0</v>
      </c>
      <c r="D2891" s="691" t="s">
        <v>1864</v>
      </c>
      <c r="E2891" s="691" t="s">
        <v>1863</v>
      </c>
      <c r="F2891" s="683" t="s">
        <v>1006</v>
      </c>
      <c r="G2891" s="685" t="s">
        <v>25</v>
      </c>
    </row>
    <row r="2892" spans="1:7" ht="19.899999999999999" customHeight="1">
      <c r="A2892" s="477" t="s">
        <v>576</v>
      </c>
      <c r="B2892" s="477" t="s">
        <v>577</v>
      </c>
      <c r="C2892" s="680"/>
      <c r="D2892" s="692"/>
      <c r="E2892" s="682"/>
      <c r="F2892" s="684"/>
      <c r="G2892" s="686"/>
    </row>
    <row r="2893" spans="1:7" ht="19.899999999999999" customHeight="1">
      <c r="A2893" s="513"/>
      <c r="B2893" s="163"/>
      <c r="C2893" s="455" t="s">
        <v>1007</v>
      </c>
      <c r="D2893" s="460"/>
      <c r="E2893" s="460"/>
      <c r="F2893" s="163"/>
      <c r="G2893" s="514"/>
    </row>
    <row r="2894" spans="1:7" ht="19.899999999999999" customHeight="1">
      <c r="A2894" s="515">
        <f t="shared" ref="A2894:A2902" si="939">IFERROR(VLOOKUP(C2894,T_Insumos,4,FALSE),0)</f>
        <v>0</v>
      </c>
      <c r="B2894" s="478">
        <f t="shared" ref="B2894:B2902" si="940">IFERROR(VLOOKUP(C2894,T_Insumos,5,FALSE),0)</f>
        <v>0</v>
      </c>
      <c r="C2894" s="469"/>
      <c r="D2894" s="479">
        <f t="shared" ref="D2894:D2902" si="941">IFERROR(VLOOKUP(C2894,T_Insumos,3,FALSE),0)</f>
        <v>0</v>
      </c>
      <c r="E2894" s="472">
        <f>D2894*$G$23</f>
        <v>0</v>
      </c>
      <c r="F2894" s="475">
        <f>IF(C2894="",0,IFERROR(VLOOKUP(COUNTIF($A$1:A2894,"ANALISIS DE PRECIOS"),T_Rendimiento_Equipo,5,FALSE),0))</f>
        <v>0</v>
      </c>
      <c r="G2894" s="472">
        <f>IFERROR(ROUND(E2894/F2894,2),0)</f>
        <v>0</v>
      </c>
    </row>
    <row r="2895" spans="1:7" ht="19.899999999999999" customHeight="1">
      <c r="A2895" s="515">
        <f t="shared" si="939"/>
        <v>0</v>
      </c>
      <c r="B2895" s="478">
        <f t="shared" si="940"/>
        <v>0</v>
      </c>
      <c r="C2895" s="469"/>
      <c r="D2895" s="479">
        <f t="shared" si="941"/>
        <v>0</v>
      </c>
      <c r="E2895" s="472">
        <f t="shared" ref="E2895:E2902" si="942">D2895*$G$23</f>
        <v>0</v>
      </c>
      <c r="F2895" s="475">
        <f>IF(C2895="",0,IFERROR(VLOOKUP(COUNTIF($A$1:A2895,"ANALISIS DE PRECIOS"),T_Rendimiento_Equipo,5,FALSE),0))</f>
        <v>0</v>
      </c>
      <c r="G2895" s="472">
        <f t="shared" ref="G2895:G2902" si="943">IFERROR(ROUND(E2895/F2895,2),0)</f>
        <v>0</v>
      </c>
    </row>
    <row r="2896" spans="1:7" ht="19.899999999999999" customHeight="1">
      <c r="A2896" s="515">
        <f t="shared" si="939"/>
        <v>0</v>
      </c>
      <c r="B2896" s="478">
        <f t="shared" si="940"/>
        <v>0</v>
      </c>
      <c r="C2896" s="480"/>
      <c r="D2896" s="479">
        <f t="shared" si="941"/>
        <v>0</v>
      </c>
      <c r="E2896" s="472">
        <f t="shared" si="942"/>
        <v>0</v>
      </c>
      <c r="F2896" s="475">
        <f>IF(C2896="",0,IFERROR(VLOOKUP(COUNTIF($A$1:A2896,"ANALISIS DE PRECIOS"),T_Rendimiento_Equipo,5,FALSE),0))</f>
        <v>0</v>
      </c>
      <c r="G2896" s="472">
        <f t="shared" si="943"/>
        <v>0</v>
      </c>
    </row>
    <row r="2897" spans="1:7" ht="19.899999999999999" customHeight="1">
      <c r="A2897" s="515">
        <f t="shared" si="939"/>
        <v>0</v>
      </c>
      <c r="B2897" s="478">
        <f t="shared" si="940"/>
        <v>0</v>
      </c>
      <c r="C2897" s="480"/>
      <c r="D2897" s="479">
        <f t="shared" si="941"/>
        <v>0</v>
      </c>
      <c r="E2897" s="472">
        <f t="shared" si="942"/>
        <v>0</v>
      </c>
      <c r="F2897" s="475">
        <f>IF(C2897="",0,IFERROR(VLOOKUP(COUNTIF($A$1:A2897,"ANALISIS DE PRECIOS"),T_Rendimiento_Equipo,5,FALSE),0))</f>
        <v>0</v>
      </c>
      <c r="G2897" s="472">
        <f t="shared" si="943"/>
        <v>0</v>
      </c>
    </row>
    <row r="2898" spans="1:7" ht="19.899999999999999" customHeight="1">
      <c r="A2898" s="515">
        <f t="shared" si="939"/>
        <v>0</v>
      </c>
      <c r="B2898" s="478">
        <f t="shared" si="940"/>
        <v>0</v>
      </c>
      <c r="C2898" s="480"/>
      <c r="D2898" s="479">
        <f t="shared" si="941"/>
        <v>0</v>
      </c>
      <c r="E2898" s="472">
        <f t="shared" si="942"/>
        <v>0</v>
      </c>
      <c r="F2898" s="475">
        <f>IF(C2898="",0,IFERROR(VLOOKUP(COUNTIF($A$1:A2898,"ANALISIS DE PRECIOS"),T_Rendimiento_Equipo,5,FALSE),0))</f>
        <v>0</v>
      </c>
      <c r="G2898" s="472">
        <f t="shared" si="943"/>
        <v>0</v>
      </c>
    </row>
    <row r="2899" spans="1:7" ht="19.899999999999999" customHeight="1">
      <c r="A2899" s="515">
        <f t="shared" si="939"/>
        <v>0</v>
      </c>
      <c r="B2899" s="478">
        <f t="shared" si="940"/>
        <v>0</v>
      </c>
      <c r="C2899" s="480"/>
      <c r="D2899" s="479">
        <f t="shared" si="941"/>
        <v>0</v>
      </c>
      <c r="E2899" s="472">
        <f t="shared" si="942"/>
        <v>0</v>
      </c>
      <c r="F2899" s="475">
        <f>IF(C2899="",0,IFERROR(VLOOKUP(COUNTIF($A$1:A2899,"ANALISIS DE PRECIOS"),T_Rendimiento_Equipo,5,FALSE),0))</f>
        <v>0</v>
      </c>
      <c r="G2899" s="472">
        <f t="shared" si="943"/>
        <v>0</v>
      </c>
    </row>
    <row r="2900" spans="1:7" ht="19.899999999999999" customHeight="1">
      <c r="A2900" s="515">
        <f t="shared" si="939"/>
        <v>0</v>
      </c>
      <c r="B2900" s="478">
        <f t="shared" si="940"/>
        <v>0</v>
      </c>
      <c r="C2900" s="480"/>
      <c r="D2900" s="479">
        <f t="shared" si="941"/>
        <v>0</v>
      </c>
      <c r="E2900" s="472">
        <f t="shared" si="942"/>
        <v>0</v>
      </c>
      <c r="F2900" s="475">
        <f>IF(C2900="",0,IFERROR(VLOOKUP(COUNTIF($A$1:A2900,"ANALISIS DE PRECIOS"),T_Rendimiento_Equipo,5,FALSE),0))</f>
        <v>0</v>
      </c>
      <c r="G2900" s="472">
        <f t="shared" si="943"/>
        <v>0</v>
      </c>
    </row>
    <row r="2901" spans="1:7" ht="19.899999999999999" customHeight="1">
      <c r="A2901" s="515">
        <f t="shared" si="939"/>
        <v>0</v>
      </c>
      <c r="B2901" s="478">
        <f t="shared" si="940"/>
        <v>0</v>
      </c>
      <c r="C2901" s="480"/>
      <c r="D2901" s="479">
        <f t="shared" si="941"/>
        <v>0</v>
      </c>
      <c r="E2901" s="472">
        <f t="shared" si="942"/>
        <v>0</v>
      </c>
      <c r="F2901" s="475">
        <f>IF(C2901="",0,IFERROR(VLOOKUP(COUNTIF($A$1:A2901,"ANALISIS DE PRECIOS"),T_Rendimiento_Equipo,5,FALSE),0))</f>
        <v>0</v>
      </c>
      <c r="G2901" s="472">
        <f t="shared" si="943"/>
        <v>0</v>
      </c>
    </row>
    <row r="2902" spans="1:7" ht="19.899999999999999" customHeight="1">
      <c r="A2902" s="515">
        <f t="shared" si="939"/>
        <v>0</v>
      </c>
      <c r="B2902" s="478">
        <f t="shared" si="940"/>
        <v>0</v>
      </c>
      <c r="C2902" s="469"/>
      <c r="D2902" s="479">
        <f t="shared" si="941"/>
        <v>0</v>
      </c>
      <c r="E2902" s="472">
        <f t="shared" si="942"/>
        <v>0</v>
      </c>
      <c r="F2902" s="475">
        <f>IF(C2902="",0,IFERROR(VLOOKUP(COUNTIF($A$1:A2902,"ANALISIS DE PRECIOS"),T_Rendimiento_Equipo,5,FALSE),0))</f>
        <v>0</v>
      </c>
      <c r="G2902" s="472">
        <f t="shared" si="943"/>
        <v>0</v>
      </c>
    </row>
    <row r="2903" spans="1:7" ht="19.899999999999999" customHeight="1">
      <c r="A2903" s="516"/>
      <c r="B2903" s="459"/>
      <c r="C2903" s="163"/>
      <c r="D2903" s="459"/>
      <c r="E2903" s="460"/>
      <c r="F2903" s="650" t="s">
        <v>26</v>
      </c>
      <c r="G2903" s="517">
        <f>SUBTOTAL(9,G2894:G2902)</f>
        <v>0</v>
      </c>
    </row>
    <row r="2904" spans="1:7" ht="19.899999999999999" customHeight="1">
      <c r="A2904" s="513"/>
      <c r="B2904" s="163"/>
      <c r="C2904" s="455" t="s">
        <v>712</v>
      </c>
      <c r="D2904" s="459"/>
      <c r="E2904" s="460"/>
      <c r="F2904" s="461"/>
      <c r="G2904" s="514"/>
    </row>
    <row r="2905" spans="1:7" ht="19.899999999999999" customHeight="1">
      <c r="A2905" s="677" t="s">
        <v>575</v>
      </c>
      <c r="B2905" s="678"/>
      <c r="C2905" s="679" t="s">
        <v>0</v>
      </c>
      <c r="D2905" s="681" t="s">
        <v>23</v>
      </c>
      <c r="E2905" s="681" t="s">
        <v>1830</v>
      </c>
      <c r="F2905" s="683" t="s">
        <v>1006</v>
      </c>
      <c r="G2905" s="685" t="s">
        <v>25</v>
      </c>
    </row>
    <row r="2906" spans="1:7" ht="19.899999999999999" customHeight="1">
      <c r="A2906" s="477" t="s">
        <v>576</v>
      </c>
      <c r="B2906" s="477" t="s">
        <v>577</v>
      </c>
      <c r="C2906" s="680"/>
      <c r="D2906" s="682"/>
      <c r="E2906" s="682"/>
      <c r="F2906" s="684"/>
      <c r="G2906" s="686"/>
    </row>
    <row r="2907" spans="1:7" ht="19.899999999999999" customHeight="1">
      <c r="A2907" s="515">
        <f t="shared" ref="A2907:A2913" si="944">IFERROR(VLOOKUP(C2907,T_Insumos,4,FALSE),0)</f>
        <v>0</v>
      </c>
      <c r="B2907" s="478">
        <f t="shared" ref="B2907:B2913" si="945">IFERROR(VLOOKUP(C2907,T_Insumos,5,FALSE),0)</f>
        <v>0</v>
      </c>
      <c r="C2907" s="482"/>
      <c r="D2907" s="475"/>
      <c r="E2907" s="472">
        <f t="shared" ref="E2907:E2913" si="946">IFERROR(VLOOKUP(C2907,T_Insumos,3,FALSE),0)</f>
        <v>0</v>
      </c>
      <c r="F2907" s="475">
        <f>IF(C2907="",0,IFERROR(VLOOKUP(COUNTIF($A$1:A2907,"ANALISIS DE PRECIOS"),T_Rendimiento_Equipo,5,FALSE),0))</f>
        <v>0</v>
      </c>
      <c r="G2907" s="472">
        <f>IFERROR(ROUND(D2907*E2907/F2907,2),0)</f>
        <v>0</v>
      </c>
    </row>
    <row r="2908" spans="1:7" ht="19.899999999999999" customHeight="1">
      <c r="A2908" s="515">
        <f t="shared" si="944"/>
        <v>0</v>
      </c>
      <c r="B2908" s="478">
        <f t="shared" si="945"/>
        <v>0</v>
      </c>
      <c r="C2908" s="469"/>
      <c r="D2908" s="475"/>
      <c r="E2908" s="472">
        <f t="shared" si="946"/>
        <v>0</v>
      </c>
      <c r="F2908" s="475">
        <f>IF(C2908="",0,IFERROR(VLOOKUP(COUNTIF($A$1:A2908,"ANALISIS DE PRECIOS"),T_Rendimiento_Equipo,5,FALSE),0))</f>
        <v>0</v>
      </c>
      <c r="G2908" s="472">
        <f t="shared" ref="G2908:G2913" si="947">IFERROR(ROUND(D2908*E2908/F2908,2),0)</f>
        <v>0</v>
      </c>
    </row>
    <row r="2909" spans="1:7" ht="19.899999999999999" customHeight="1">
      <c r="A2909" s="515">
        <f t="shared" si="944"/>
        <v>0</v>
      </c>
      <c r="B2909" s="478">
        <f t="shared" si="945"/>
        <v>0</v>
      </c>
      <c r="C2909" s="469"/>
      <c r="D2909" s="475"/>
      <c r="E2909" s="472">
        <f t="shared" si="946"/>
        <v>0</v>
      </c>
      <c r="F2909" s="475">
        <f>IF(C2909="",0,IFERROR(VLOOKUP(COUNTIF($A$1:A2909,"ANALISIS DE PRECIOS"),T_Rendimiento_Equipo,5,FALSE),0))</f>
        <v>0</v>
      </c>
      <c r="G2909" s="472">
        <f t="shared" si="947"/>
        <v>0</v>
      </c>
    </row>
    <row r="2910" spans="1:7" ht="19.899999999999999" customHeight="1">
      <c r="A2910" s="515">
        <f t="shared" si="944"/>
        <v>0</v>
      </c>
      <c r="B2910" s="478">
        <f t="shared" si="945"/>
        <v>0</v>
      </c>
      <c r="C2910" s="469"/>
      <c r="D2910" s="475"/>
      <c r="E2910" s="472">
        <f t="shared" si="946"/>
        <v>0</v>
      </c>
      <c r="F2910" s="475">
        <f>IF(C2910="",0,IFERROR(VLOOKUP(COUNTIF($A$1:A2910,"ANALISIS DE PRECIOS"),T_Rendimiento_Equipo,5,FALSE),0))</f>
        <v>0</v>
      </c>
      <c r="G2910" s="472">
        <f t="shared" si="947"/>
        <v>0</v>
      </c>
    </row>
    <row r="2911" spans="1:7" ht="19.899999999999999" customHeight="1">
      <c r="A2911" s="515">
        <f t="shared" si="944"/>
        <v>0</v>
      </c>
      <c r="B2911" s="478">
        <f t="shared" si="945"/>
        <v>0</v>
      </c>
      <c r="C2911" s="469"/>
      <c r="D2911" s="475"/>
      <c r="E2911" s="472">
        <f t="shared" si="946"/>
        <v>0</v>
      </c>
      <c r="F2911" s="475">
        <f>IF(C2911="",0,IFERROR(VLOOKUP(COUNTIF($A$1:A2911,"ANALISIS DE PRECIOS"),T_Rendimiento_Equipo,5,FALSE),0))</f>
        <v>0</v>
      </c>
      <c r="G2911" s="472">
        <f t="shared" si="947"/>
        <v>0</v>
      </c>
    </row>
    <row r="2912" spans="1:7" ht="19.899999999999999" customHeight="1">
      <c r="A2912" s="515">
        <f t="shared" si="944"/>
        <v>0</v>
      </c>
      <c r="B2912" s="478">
        <f t="shared" si="945"/>
        <v>0</v>
      </c>
      <c r="C2912" s="469"/>
      <c r="D2912" s="483"/>
      <c r="E2912" s="472">
        <f t="shared" si="946"/>
        <v>0</v>
      </c>
      <c r="F2912" s="475">
        <f>IF(C2912="",0,IFERROR(VLOOKUP(COUNTIF($A$1:A2912,"ANALISIS DE PRECIOS"),T_Rendimiento_Equipo,5,FALSE),0))</f>
        <v>0</v>
      </c>
      <c r="G2912" s="472">
        <f t="shared" si="947"/>
        <v>0</v>
      </c>
    </row>
    <row r="2913" spans="1:7" ht="19.899999999999999" customHeight="1">
      <c r="A2913" s="515">
        <f t="shared" si="944"/>
        <v>0</v>
      </c>
      <c r="B2913" s="478">
        <f t="shared" si="945"/>
        <v>0</v>
      </c>
      <c r="C2913" s="478"/>
      <c r="D2913" s="484"/>
      <c r="E2913" s="472">
        <f t="shared" si="946"/>
        <v>0</v>
      </c>
      <c r="F2913" s="475">
        <f>IF(C2913="",0,IFERROR(VLOOKUP(COUNTIF($A$1:A2913,"ANALISIS DE PRECIOS"),T_Rendimiento_Equipo,5,FALSE),0))</f>
        <v>0</v>
      </c>
      <c r="G2913" s="472">
        <f t="shared" si="947"/>
        <v>0</v>
      </c>
    </row>
    <row r="2914" spans="1:7" ht="19.899999999999999" customHeight="1">
      <c r="A2914" s="516"/>
      <c r="B2914" s="459"/>
      <c r="C2914" s="163"/>
      <c r="D2914" s="459"/>
      <c r="E2914" s="460"/>
      <c r="F2914" s="650" t="s">
        <v>27</v>
      </c>
      <c r="G2914" s="518">
        <f>SUBTOTAL(9,G2907:G2913)</f>
        <v>0</v>
      </c>
    </row>
    <row r="2915" spans="1:7" ht="19.899999999999999" customHeight="1">
      <c r="A2915" s="513"/>
      <c r="B2915" s="163"/>
      <c r="C2915" s="455" t="s">
        <v>1013</v>
      </c>
      <c r="D2915" s="459"/>
      <c r="E2915" s="460"/>
      <c r="F2915" s="461"/>
      <c r="G2915" s="514"/>
    </row>
    <row r="2916" spans="1:7" ht="19.899999999999999" customHeight="1">
      <c r="A2916" s="677" t="s">
        <v>575</v>
      </c>
      <c r="B2916" s="678"/>
      <c r="C2916" s="679" t="s">
        <v>0</v>
      </c>
      <c r="D2916" s="679" t="s">
        <v>1865</v>
      </c>
      <c r="E2916" s="681" t="s">
        <v>23</v>
      </c>
      <c r="F2916" s="683" t="s">
        <v>24</v>
      </c>
      <c r="G2916" s="685" t="s">
        <v>25</v>
      </c>
    </row>
    <row r="2917" spans="1:7" ht="19.899999999999999" customHeight="1">
      <c r="A2917" s="477" t="s">
        <v>576</v>
      </c>
      <c r="B2917" s="477" t="s">
        <v>577</v>
      </c>
      <c r="C2917" s="680"/>
      <c r="D2917" s="680"/>
      <c r="E2917" s="682"/>
      <c r="F2917" s="684"/>
      <c r="G2917" s="686"/>
    </row>
    <row r="2918" spans="1:7" ht="19.899999999999999" customHeight="1">
      <c r="A2918" s="515">
        <f t="shared" ref="A2918:A2928" si="948">IFERROR(VLOOKUP(C2918,T_Insumos,4,FALSE),0)</f>
        <v>0</v>
      </c>
      <c r="B2918" s="478">
        <f t="shared" ref="B2918:B2928" si="949">IFERROR(VLOOKUP(C2918,T_Insumos,5,FALSE),0)</f>
        <v>0</v>
      </c>
      <c r="C2918" s="478"/>
      <c r="D2918" s="526">
        <f t="shared" ref="D2918:D2928" si="950">IFERROR(VLOOKUP(C2918,T_Insumos,2,FALSE),0)</f>
        <v>0</v>
      </c>
      <c r="E2918" s="470"/>
      <c r="F2918" s="472">
        <f t="shared" ref="F2918:F2928" si="951">IFERROR(VLOOKUP(C2918,T_Insumos,3,FALSE),0)</f>
        <v>0</v>
      </c>
      <c r="G2918" s="472">
        <f>ROUND(E2918*F2918,2)</f>
        <v>0</v>
      </c>
    </row>
    <row r="2919" spans="1:7" ht="19.899999999999999" customHeight="1">
      <c r="A2919" s="515">
        <f t="shared" si="948"/>
        <v>0</v>
      </c>
      <c r="B2919" s="478">
        <f t="shared" si="949"/>
        <v>0</v>
      </c>
      <c r="C2919" s="478"/>
      <c r="D2919" s="526">
        <f t="shared" si="950"/>
        <v>0</v>
      </c>
      <c r="E2919" s="470"/>
      <c r="F2919" s="472">
        <f t="shared" si="951"/>
        <v>0</v>
      </c>
      <c r="G2919" s="472">
        <f t="shared" ref="G2919:G2928" si="952">ROUND(E2919*F2919,2)</f>
        <v>0</v>
      </c>
    </row>
    <row r="2920" spans="1:7" ht="19.899999999999999" customHeight="1">
      <c r="A2920" s="515">
        <f t="shared" si="948"/>
        <v>0</v>
      </c>
      <c r="B2920" s="478">
        <f t="shared" si="949"/>
        <v>0</v>
      </c>
      <c r="C2920" s="478"/>
      <c r="D2920" s="526">
        <f t="shared" si="950"/>
        <v>0</v>
      </c>
      <c r="E2920" s="470"/>
      <c r="F2920" s="472">
        <f t="shared" si="951"/>
        <v>0</v>
      </c>
      <c r="G2920" s="472">
        <f t="shared" si="952"/>
        <v>0</v>
      </c>
    </row>
    <row r="2921" spans="1:7" ht="19.899999999999999" customHeight="1">
      <c r="A2921" s="515">
        <f t="shared" si="948"/>
        <v>0</v>
      </c>
      <c r="B2921" s="478">
        <f t="shared" si="949"/>
        <v>0</v>
      </c>
      <c r="C2921" s="478"/>
      <c r="D2921" s="526">
        <f t="shared" si="950"/>
        <v>0</v>
      </c>
      <c r="E2921" s="470"/>
      <c r="F2921" s="472">
        <f t="shared" si="951"/>
        <v>0</v>
      </c>
      <c r="G2921" s="472">
        <f t="shared" si="952"/>
        <v>0</v>
      </c>
    </row>
    <row r="2922" spans="1:7" ht="19.899999999999999" customHeight="1">
      <c r="A2922" s="515">
        <f t="shared" si="948"/>
        <v>0</v>
      </c>
      <c r="B2922" s="478">
        <f t="shared" si="949"/>
        <v>0</v>
      </c>
      <c r="C2922" s="478"/>
      <c r="D2922" s="526">
        <f t="shared" si="950"/>
        <v>0</v>
      </c>
      <c r="E2922" s="470"/>
      <c r="F2922" s="472">
        <f t="shared" si="951"/>
        <v>0</v>
      </c>
      <c r="G2922" s="472">
        <f t="shared" si="952"/>
        <v>0</v>
      </c>
    </row>
    <row r="2923" spans="1:7" ht="19.899999999999999" customHeight="1">
      <c r="A2923" s="515">
        <f t="shared" si="948"/>
        <v>0</v>
      </c>
      <c r="B2923" s="478">
        <f t="shared" si="949"/>
        <v>0</v>
      </c>
      <c r="C2923" s="478"/>
      <c r="D2923" s="526">
        <f t="shared" si="950"/>
        <v>0</v>
      </c>
      <c r="E2923" s="470"/>
      <c r="F2923" s="472">
        <f t="shared" si="951"/>
        <v>0</v>
      </c>
      <c r="G2923" s="472">
        <f t="shared" si="952"/>
        <v>0</v>
      </c>
    </row>
    <row r="2924" spans="1:7" ht="19.899999999999999" customHeight="1">
      <c r="A2924" s="515">
        <f t="shared" si="948"/>
        <v>0</v>
      </c>
      <c r="B2924" s="478">
        <f t="shared" si="949"/>
        <v>0</v>
      </c>
      <c r="C2924" s="478"/>
      <c r="D2924" s="526">
        <f t="shared" si="950"/>
        <v>0</v>
      </c>
      <c r="E2924" s="470"/>
      <c r="F2924" s="472">
        <f t="shared" si="951"/>
        <v>0</v>
      </c>
      <c r="G2924" s="472">
        <f t="shared" si="952"/>
        <v>0</v>
      </c>
    </row>
    <row r="2925" spans="1:7" ht="19.899999999999999" customHeight="1">
      <c r="A2925" s="515">
        <f t="shared" si="948"/>
        <v>0</v>
      </c>
      <c r="B2925" s="478">
        <f t="shared" si="949"/>
        <v>0</v>
      </c>
      <c r="C2925" s="478"/>
      <c r="D2925" s="526">
        <f t="shared" si="950"/>
        <v>0</v>
      </c>
      <c r="E2925" s="470"/>
      <c r="F2925" s="472">
        <f t="shared" si="951"/>
        <v>0</v>
      </c>
      <c r="G2925" s="472">
        <f t="shared" si="952"/>
        <v>0</v>
      </c>
    </row>
    <row r="2926" spans="1:7" ht="19.899999999999999" customHeight="1">
      <c r="A2926" s="515">
        <f t="shared" si="948"/>
        <v>0</v>
      </c>
      <c r="B2926" s="478">
        <f t="shared" si="949"/>
        <v>0</v>
      </c>
      <c r="C2926" s="478"/>
      <c r="D2926" s="526">
        <f t="shared" si="950"/>
        <v>0</v>
      </c>
      <c r="E2926" s="470"/>
      <c r="F2926" s="472">
        <f t="shared" si="951"/>
        <v>0</v>
      </c>
      <c r="G2926" s="472">
        <f t="shared" si="952"/>
        <v>0</v>
      </c>
    </row>
    <row r="2927" spans="1:7" ht="19.899999999999999" customHeight="1">
      <c r="A2927" s="515">
        <f t="shared" si="948"/>
        <v>0</v>
      </c>
      <c r="B2927" s="478">
        <f t="shared" si="949"/>
        <v>0</v>
      </c>
      <c r="C2927" s="478"/>
      <c r="D2927" s="526">
        <f t="shared" si="950"/>
        <v>0</v>
      </c>
      <c r="E2927" s="470"/>
      <c r="F2927" s="472">
        <f t="shared" si="951"/>
        <v>0</v>
      </c>
      <c r="G2927" s="472">
        <f t="shared" si="952"/>
        <v>0</v>
      </c>
    </row>
    <row r="2928" spans="1:7" ht="19.899999999999999" customHeight="1">
      <c r="A2928" s="515">
        <f t="shared" si="948"/>
        <v>0</v>
      </c>
      <c r="B2928" s="478">
        <f t="shared" si="949"/>
        <v>0</v>
      </c>
      <c r="C2928" s="478"/>
      <c r="D2928" s="526">
        <f t="shared" si="950"/>
        <v>0</v>
      </c>
      <c r="E2928" s="470"/>
      <c r="F2928" s="472">
        <f t="shared" si="951"/>
        <v>0</v>
      </c>
      <c r="G2928" s="472">
        <f t="shared" si="952"/>
        <v>0</v>
      </c>
    </row>
    <row r="2929" spans="1:7" ht="19.899999999999999" customHeight="1">
      <c r="A2929" s="513"/>
      <c r="B2929" s="163"/>
      <c r="C2929" s="163"/>
      <c r="D2929" s="459"/>
      <c r="E2929" s="460"/>
      <c r="F2929" s="650" t="s">
        <v>28</v>
      </c>
      <c r="G2929" s="518">
        <f>SUBTOTAL(9,G2918:G2928)</f>
        <v>0</v>
      </c>
    </row>
    <row r="2930" spans="1:7" ht="19.899999999999999" customHeight="1">
      <c r="A2930" s="513"/>
      <c r="B2930" s="163"/>
      <c r="C2930" s="455" t="s">
        <v>1014</v>
      </c>
      <c r="D2930" s="459"/>
      <c r="E2930" s="460"/>
      <c r="F2930" s="461"/>
      <c r="G2930" s="514"/>
    </row>
    <row r="2931" spans="1:7" ht="19.899999999999999" customHeight="1">
      <c r="A2931" s="677" t="s">
        <v>575</v>
      </c>
      <c r="B2931" s="678"/>
      <c r="C2931" s="679" t="s">
        <v>0</v>
      </c>
      <c r="D2931" s="679" t="s">
        <v>1865</v>
      </c>
      <c r="E2931" s="681" t="s">
        <v>23</v>
      </c>
      <c r="F2931" s="683" t="s">
        <v>24</v>
      </c>
      <c r="G2931" s="685" t="s">
        <v>25</v>
      </c>
    </row>
    <row r="2932" spans="1:7" ht="19.899999999999999" customHeight="1">
      <c r="A2932" s="477" t="s">
        <v>576</v>
      </c>
      <c r="B2932" s="477" t="s">
        <v>577</v>
      </c>
      <c r="C2932" s="680"/>
      <c r="D2932" s="680"/>
      <c r="E2932" s="682"/>
      <c r="F2932" s="684"/>
      <c r="G2932" s="686"/>
    </row>
    <row r="2933" spans="1:7" ht="19.899999999999999" customHeight="1">
      <c r="A2933" s="515">
        <f>IFERROR(VLOOKUP(C2933,T_Insumos,4,FALSE),0)</f>
        <v>0</v>
      </c>
      <c r="B2933" s="478">
        <f>IFERROR(VLOOKUP(C2933,T_Insumos,5,FALSE),0)</f>
        <v>0</v>
      </c>
      <c r="C2933" s="469"/>
      <c r="D2933" s="526">
        <f>IF(C2933=0,0,"$/tnkm")</f>
        <v>0</v>
      </c>
      <c r="E2933" s="470"/>
      <c r="F2933" s="472">
        <f>IFERROR(VLOOKUP(C2933,T_Insumos,3,FALSE),0)</f>
        <v>0</v>
      </c>
      <c r="G2933" s="472">
        <f>ROUND(E2933*F2933,2)</f>
        <v>0</v>
      </c>
    </row>
    <row r="2934" spans="1:7" ht="19.899999999999999" customHeight="1">
      <c r="A2934" s="515">
        <f>IFERROR(VLOOKUP(C2934,T_Insumos,4,FALSE),0)</f>
        <v>0</v>
      </c>
      <c r="B2934" s="478">
        <f>IFERROR(VLOOKUP(C2934,T_Insumos,5,FALSE),0)</f>
        <v>0</v>
      </c>
      <c r="C2934" s="469"/>
      <c r="D2934" s="526">
        <f>IF(C2934=0,0,"$/tnkm")</f>
        <v>0</v>
      </c>
      <c r="E2934" s="486"/>
      <c r="F2934" s="472">
        <f>IFERROR(VLOOKUP(C2934,T_Insumos,3,FALSE),0)</f>
        <v>0</v>
      </c>
      <c r="G2934" s="472">
        <f t="shared" ref="G2934" si="953">ROUND(E2934*F2934,2)</f>
        <v>0</v>
      </c>
    </row>
    <row r="2935" spans="1:7" ht="19.899999999999999" customHeight="1">
      <c r="A2935" s="513"/>
      <c r="B2935" s="163"/>
      <c r="C2935" s="163"/>
      <c r="D2935" s="459"/>
      <c r="E2935" s="460"/>
      <c r="F2935" s="650" t="s">
        <v>1015</v>
      </c>
      <c r="G2935" s="518">
        <f>SUBTOTAL(9,G2933:G2934)</f>
        <v>0</v>
      </c>
    </row>
    <row r="2936" spans="1:7" ht="19.899999999999999" customHeight="1">
      <c r="A2936" s="516"/>
      <c r="B2936" s="459"/>
      <c r="C2936" s="163"/>
      <c r="D2936" s="459"/>
      <c r="E2936" s="460"/>
      <c r="F2936" s="461"/>
      <c r="G2936" s="514"/>
    </row>
    <row r="2937" spans="1:7" ht="19.899999999999999" customHeight="1">
      <c r="A2937" s="574" t="str">
        <f>B2871</f>
        <v>6.1.6</v>
      </c>
      <c r="B2937" s="571" t="str">
        <f ca="1">C2871</f>
        <v>Malla de acero</v>
      </c>
      <c r="C2937" s="459"/>
      <c r="D2937" s="459" t="s">
        <v>1831</v>
      </c>
      <c r="E2937" s="572"/>
      <c r="F2937" s="573" t="str">
        <f ca="1">"$/"&amp;G2871</f>
        <v>$/kg</v>
      </c>
      <c r="G2937" s="523">
        <f>SUBTOTAL(9,G2894:G2936)</f>
        <v>0</v>
      </c>
    </row>
    <row r="2938" spans="1:7" ht="19.899999999999999" customHeight="1">
      <c r="A2938" s="519"/>
      <c r="B2938" s="520"/>
      <c r="C2938" s="521"/>
      <c r="D2938" s="521" t="s">
        <v>2041</v>
      </c>
      <c r="E2938" s="522"/>
      <c r="F2938" s="575" t="str">
        <f ca="1">"$/"&amp;G2871</f>
        <v>$/kg</v>
      </c>
      <c r="G2938" s="523">
        <f>ROUND(G2937*Coeficiente_Paso,2)</f>
        <v>0</v>
      </c>
    </row>
    <row r="2939" spans="1:7" ht="19.899999999999999" customHeight="1">
      <c r="A2939" s="163"/>
      <c r="B2939" s="163"/>
      <c r="C2939" s="163"/>
      <c r="D2939" s="163"/>
      <c r="E2939" s="163"/>
      <c r="F2939" s="163"/>
      <c r="G2939" s="163"/>
    </row>
    <row r="2940" spans="1:7" ht="19.899999999999999" customHeight="1">
      <c r="A2940" s="687" t="s">
        <v>30</v>
      </c>
      <c r="B2940" s="688"/>
      <c r="C2940" s="688"/>
      <c r="D2940" s="688"/>
      <c r="E2940" s="688"/>
      <c r="F2940" s="688"/>
      <c r="G2940" s="689"/>
    </row>
    <row r="2941" spans="1:7" ht="19.899999999999999" customHeight="1">
      <c r="A2941" s="502" t="s">
        <v>710</v>
      </c>
      <c r="B2941" s="453" t="str">
        <f>Comitente</f>
        <v>DEPARTAMENTO DE HIDRAULICA</v>
      </c>
      <c r="C2941" s="454"/>
      <c r="D2941" s="455"/>
      <c r="E2941" s="455"/>
      <c r="F2941" s="456"/>
      <c r="G2941" s="503"/>
    </row>
    <row r="2942" spans="1:7" ht="19.899999999999999" customHeight="1">
      <c r="A2942" s="502" t="s">
        <v>711</v>
      </c>
      <c r="B2942" s="453">
        <f>Contratista</f>
        <v>0</v>
      </c>
      <c r="C2942" s="457"/>
      <c r="D2942" s="457"/>
      <c r="E2942" s="457"/>
      <c r="F2942" s="453"/>
      <c r="G2942" s="504"/>
    </row>
    <row r="2943" spans="1:7" ht="19.899999999999999" customHeight="1">
      <c r="A2943" s="502" t="s">
        <v>20</v>
      </c>
      <c r="B2943" s="453" t="str">
        <f>Obra</f>
        <v>MEJORA DE LA RED DE RIEGO DEL VALLE DE JÁCHAL</v>
      </c>
      <c r="C2943" s="457"/>
      <c r="D2943" s="457"/>
      <c r="E2943" s="457"/>
      <c r="F2943" s="453" t="s">
        <v>31</v>
      </c>
      <c r="G2943" s="504" t="str">
        <f>Fecha_Base</f>
        <v>XX/07/2020</v>
      </c>
    </row>
    <row r="2944" spans="1:7" ht="19.899999999999999" customHeight="1">
      <c r="A2944" s="505" t="s">
        <v>709</v>
      </c>
      <c r="B2944" s="458" t="str">
        <f>Ubicación</f>
        <v>JACHAL</v>
      </c>
      <c r="C2944" s="458"/>
      <c r="D2944" s="459"/>
      <c r="E2944" s="460"/>
      <c r="F2944" s="461"/>
      <c r="G2944" s="506"/>
    </row>
    <row r="2945" spans="1:7" ht="19.899999999999999" customHeight="1">
      <c r="A2945" s="505" t="s">
        <v>32</v>
      </c>
      <c r="B2945" s="462">
        <f>IFERROR(VALUE(LEFT(B2946,FIND(".",B2946)-1)),"")</f>
        <v>6</v>
      </c>
      <c r="C2945" s="163" t="str">
        <f ca="1">IFERROR(VLOOKUP(B2945,T_Computo_Presupuesto,2,FALSE),0)</f>
        <v>CANAL DEL NORTE</v>
      </c>
      <c r="D2945" s="163"/>
      <c r="E2945" s="460"/>
      <c r="F2945" s="461"/>
      <c r="G2945" s="506"/>
    </row>
    <row r="2946" spans="1:7" ht="19.899999999999999" customHeight="1">
      <c r="A2946" s="505" t="s">
        <v>21</v>
      </c>
      <c r="B2946" s="463" t="str">
        <f>IFERROR(VLOOKUP(COUNTIF($A$1:A2946,"ANALISIS DE PRECIOS"),T_NumeroItem,2,FALSE),"")</f>
        <v>6.2.1</v>
      </c>
      <c r="C2946" s="690" t="str">
        <f ca="1">IFERROR(VLOOKUP(B2946,T_Computo_Presupuesto,2,FALSE),0)</f>
        <v>Limpieza y preparación del terreno</v>
      </c>
      <c r="D2946" s="690"/>
      <c r="E2946" s="690"/>
      <c r="F2946" s="458" t="s">
        <v>22</v>
      </c>
      <c r="G2946" s="507" t="str">
        <f ca="1">IFERROR(VLOOKUP(B2946,T_Computo_Presupuesto,4,FALSE),0)</f>
        <v>m</v>
      </c>
    </row>
    <row r="2947" spans="1:7" ht="19.899999999999999" customHeight="1">
      <c r="A2947" s="505"/>
      <c r="B2947" s="458"/>
      <c r="C2947" s="163"/>
      <c r="D2947" s="459"/>
      <c r="E2947" s="460"/>
      <c r="F2947" s="163"/>
      <c r="G2947" s="508"/>
    </row>
    <row r="2948" spans="1:7" ht="19.899999999999999" customHeight="1">
      <c r="A2948" s="509"/>
      <c r="B2948" s="464"/>
      <c r="C2948" s="465" t="s">
        <v>998</v>
      </c>
      <c r="D2948" s="464"/>
      <c r="E2948" s="464"/>
      <c r="F2948" s="464"/>
      <c r="G2948" s="510"/>
    </row>
    <row r="2949" spans="1:7" ht="19.899999999999999" customHeight="1">
      <c r="A2949" s="505"/>
      <c r="B2949" s="466"/>
      <c r="C2949" s="163"/>
      <c r="D2949" s="459"/>
      <c r="E2949" s="460"/>
      <c r="F2949" s="458"/>
      <c r="G2949" s="507"/>
    </row>
    <row r="2950" spans="1:7" ht="19.899999999999999" customHeight="1">
      <c r="A2950" s="505"/>
      <c r="B2950" s="466"/>
      <c r="C2950" s="467" t="s">
        <v>999</v>
      </c>
      <c r="D2950" s="468" t="s">
        <v>23</v>
      </c>
      <c r="E2950" s="468" t="s">
        <v>1000</v>
      </c>
      <c r="F2950" s="468" t="s">
        <v>1001</v>
      </c>
      <c r="G2950" s="467" t="s">
        <v>1002</v>
      </c>
    </row>
    <row r="2951" spans="1:7" ht="19.899999999999999" customHeight="1">
      <c r="A2951" s="505"/>
      <c r="B2951" s="466"/>
      <c r="C2951" s="469"/>
      <c r="D2951" s="470"/>
      <c r="E2951" s="471">
        <f t="shared" ref="E2951:E2960" si="954">IFERROR(VLOOKUP(C2951,T_Equipos,4,FALSE),0)</f>
        <v>0</v>
      </c>
      <c r="F2951" s="472">
        <f t="shared" ref="F2951:F2960" si="955">IFERROR(VLOOKUP(C2951,T_Equipos,5,FALSE),0)</f>
        <v>0</v>
      </c>
      <c r="G2951" s="472">
        <f>ROUND(D2951*F2951,2)</f>
        <v>0</v>
      </c>
    </row>
    <row r="2952" spans="1:7" ht="19.899999999999999" customHeight="1">
      <c r="A2952" s="505"/>
      <c r="B2952" s="466"/>
      <c r="C2952" s="469"/>
      <c r="D2952" s="470"/>
      <c r="E2952" s="471">
        <f t="shared" si="954"/>
        <v>0</v>
      </c>
      <c r="F2952" s="472">
        <f t="shared" si="955"/>
        <v>0</v>
      </c>
      <c r="G2952" s="472">
        <f>ROUND(D2952*F2952,2)</f>
        <v>0</v>
      </c>
    </row>
    <row r="2953" spans="1:7" ht="19.899999999999999" customHeight="1">
      <c r="A2953" s="505"/>
      <c r="B2953" s="466"/>
      <c r="C2953" s="469"/>
      <c r="D2953" s="470"/>
      <c r="E2953" s="471">
        <f t="shared" si="954"/>
        <v>0</v>
      </c>
      <c r="F2953" s="472">
        <f t="shared" si="955"/>
        <v>0</v>
      </c>
      <c r="G2953" s="472">
        <f>ROUND(D2953*F2953,2)</f>
        <v>0</v>
      </c>
    </row>
    <row r="2954" spans="1:7" ht="19.899999999999999" customHeight="1">
      <c r="A2954" s="505"/>
      <c r="B2954" s="466"/>
      <c r="C2954" s="469"/>
      <c r="D2954" s="470"/>
      <c r="E2954" s="471">
        <f t="shared" si="954"/>
        <v>0</v>
      </c>
      <c r="F2954" s="472">
        <f t="shared" si="955"/>
        <v>0</v>
      </c>
      <c r="G2954" s="472">
        <f>ROUND(D2954*F2954,2)</f>
        <v>0</v>
      </c>
    </row>
    <row r="2955" spans="1:7" ht="19.899999999999999" customHeight="1">
      <c r="A2955" s="505"/>
      <c r="B2955" s="466"/>
      <c r="C2955" s="469"/>
      <c r="D2955" s="470"/>
      <c r="E2955" s="471">
        <f t="shared" si="954"/>
        <v>0</v>
      </c>
      <c r="F2955" s="472">
        <f t="shared" si="955"/>
        <v>0</v>
      </c>
      <c r="G2955" s="472">
        <f t="shared" ref="G2955:G2960" si="956">ROUND(D2955*F2955,2)</f>
        <v>0</v>
      </c>
    </row>
    <row r="2956" spans="1:7" ht="19.899999999999999" customHeight="1">
      <c r="A2956" s="505"/>
      <c r="B2956" s="466"/>
      <c r="C2956" s="469"/>
      <c r="D2956" s="470"/>
      <c r="E2956" s="471">
        <f t="shared" si="954"/>
        <v>0</v>
      </c>
      <c r="F2956" s="472">
        <f t="shared" si="955"/>
        <v>0</v>
      </c>
      <c r="G2956" s="472">
        <f t="shared" si="956"/>
        <v>0</v>
      </c>
    </row>
    <row r="2957" spans="1:7" ht="19.899999999999999" customHeight="1">
      <c r="A2957" s="505"/>
      <c r="B2957" s="466"/>
      <c r="C2957" s="469"/>
      <c r="D2957" s="470"/>
      <c r="E2957" s="471">
        <f t="shared" si="954"/>
        <v>0</v>
      </c>
      <c r="F2957" s="472">
        <f t="shared" si="955"/>
        <v>0</v>
      </c>
      <c r="G2957" s="472">
        <f t="shared" si="956"/>
        <v>0</v>
      </c>
    </row>
    <row r="2958" spans="1:7" ht="19.899999999999999" customHeight="1">
      <c r="A2958" s="505"/>
      <c r="B2958" s="466"/>
      <c r="C2958" s="469"/>
      <c r="D2958" s="470"/>
      <c r="E2958" s="471">
        <f t="shared" si="954"/>
        <v>0</v>
      </c>
      <c r="F2958" s="472">
        <f t="shared" si="955"/>
        <v>0</v>
      </c>
      <c r="G2958" s="472">
        <f t="shared" si="956"/>
        <v>0</v>
      </c>
    </row>
    <row r="2959" spans="1:7" ht="19.899999999999999" customHeight="1">
      <c r="A2959" s="505"/>
      <c r="B2959" s="466"/>
      <c r="C2959" s="469"/>
      <c r="D2959" s="470"/>
      <c r="E2959" s="471">
        <f t="shared" si="954"/>
        <v>0</v>
      </c>
      <c r="F2959" s="472">
        <f t="shared" si="955"/>
        <v>0</v>
      </c>
      <c r="G2959" s="472">
        <f t="shared" si="956"/>
        <v>0</v>
      </c>
    </row>
    <row r="2960" spans="1:7" ht="19.899999999999999" customHeight="1">
      <c r="A2960" s="505"/>
      <c r="B2960" s="466"/>
      <c r="C2960" s="469"/>
      <c r="D2960" s="470"/>
      <c r="E2960" s="471">
        <f t="shared" si="954"/>
        <v>0</v>
      </c>
      <c r="F2960" s="472">
        <f t="shared" si="955"/>
        <v>0</v>
      </c>
      <c r="G2960" s="472">
        <f t="shared" si="956"/>
        <v>0</v>
      </c>
    </row>
    <row r="2961" spans="1:7" ht="19.899999999999999" customHeight="1">
      <c r="A2961" s="505"/>
      <c r="B2961" s="466"/>
      <c r="C2961" s="163"/>
      <c r="D2961" s="163"/>
      <c r="E2961" s="473"/>
      <c r="F2961" s="458"/>
      <c r="G2961" s="507"/>
    </row>
    <row r="2962" spans="1:7" ht="19.899999999999999" customHeight="1">
      <c r="A2962" s="505"/>
      <c r="B2962" s="163"/>
      <c r="C2962" s="455" t="s">
        <v>1003</v>
      </c>
      <c r="D2962" s="458" t="s">
        <v>1000</v>
      </c>
      <c r="E2962" s="524">
        <f>SUMPRODUCT(D2951:D2960,E2951:E2960)</f>
        <v>0</v>
      </c>
      <c r="F2962" s="458" t="s">
        <v>1004</v>
      </c>
      <c r="G2962" s="525">
        <f>SUM(G2951:G2960)</f>
        <v>0</v>
      </c>
    </row>
    <row r="2963" spans="1:7" ht="19.899999999999999" customHeight="1">
      <c r="A2963" s="505"/>
      <c r="B2963" s="466"/>
      <c r="C2963" s="474"/>
      <c r="D2963" s="473"/>
      <c r="E2963" s="460"/>
      <c r="F2963" s="458"/>
      <c r="G2963" s="511"/>
    </row>
    <row r="2964" spans="1:7" ht="19.899999999999999" customHeight="1">
      <c r="A2964" s="512"/>
      <c r="B2964" s="466"/>
      <c r="C2964" s="458" t="s">
        <v>1005</v>
      </c>
      <c r="D2964" s="475"/>
      <c r="E2964" s="476" t="str">
        <f ca="1">G2946&amp;"/día"</f>
        <v>m/día</v>
      </c>
      <c r="F2964" s="452"/>
      <c r="G2964" s="507"/>
    </row>
    <row r="2965" spans="1:7" ht="19.899999999999999" customHeight="1">
      <c r="A2965" s="505"/>
      <c r="B2965" s="466"/>
      <c r="C2965" s="163"/>
      <c r="D2965" s="459"/>
      <c r="E2965" s="460"/>
      <c r="F2965" s="458"/>
      <c r="G2965" s="507"/>
    </row>
    <row r="2966" spans="1:7" ht="19.899999999999999" customHeight="1">
      <c r="A2966" s="677" t="s">
        <v>575</v>
      </c>
      <c r="B2966" s="678"/>
      <c r="C2966" s="679" t="s">
        <v>0</v>
      </c>
      <c r="D2966" s="691" t="s">
        <v>1864</v>
      </c>
      <c r="E2966" s="691" t="s">
        <v>1863</v>
      </c>
      <c r="F2966" s="683" t="s">
        <v>1006</v>
      </c>
      <c r="G2966" s="685" t="s">
        <v>25</v>
      </c>
    </row>
    <row r="2967" spans="1:7" ht="19.899999999999999" customHeight="1">
      <c r="A2967" s="477" t="s">
        <v>576</v>
      </c>
      <c r="B2967" s="477" t="s">
        <v>577</v>
      </c>
      <c r="C2967" s="680"/>
      <c r="D2967" s="692"/>
      <c r="E2967" s="682"/>
      <c r="F2967" s="684"/>
      <c r="G2967" s="686"/>
    </row>
    <row r="2968" spans="1:7" ht="19.899999999999999" customHeight="1">
      <c r="A2968" s="513"/>
      <c r="B2968" s="163"/>
      <c r="C2968" s="455" t="s">
        <v>1007</v>
      </c>
      <c r="D2968" s="460"/>
      <c r="E2968" s="460"/>
      <c r="F2968" s="163"/>
      <c r="G2968" s="514"/>
    </row>
    <row r="2969" spans="1:7" ht="19.899999999999999" customHeight="1">
      <c r="A2969" s="515">
        <f t="shared" ref="A2969:A2977" si="957">IFERROR(VLOOKUP(C2969,T_Insumos,4,FALSE),0)</f>
        <v>0</v>
      </c>
      <c r="B2969" s="478">
        <f t="shared" ref="B2969:B2977" si="958">IFERROR(VLOOKUP(C2969,T_Insumos,5,FALSE),0)</f>
        <v>0</v>
      </c>
      <c r="C2969" s="469"/>
      <c r="D2969" s="479">
        <f t="shared" ref="D2969:D2977" si="959">IFERROR(VLOOKUP(C2969,T_Insumos,3,FALSE),0)</f>
        <v>0</v>
      </c>
      <c r="E2969" s="472">
        <f>D2969*$G$23</f>
        <v>0</v>
      </c>
      <c r="F2969" s="475">
        <f>IF(C2969="",0,IFERROR(VLOOKUP(COUNTIF($A$1:A2969,"ANALISIS DE PRECIOS"),T_Rendimiento_Equipo,5,FALSE),0))</f>
        <v>0</v>
      </c>
      <c r="G2969" s="472">
        <f>IFERROR(ROUND(E2969/F2969,2),0)</f>
        <v>0</v>
      </c>
    </row>
    <row r="2970" spans="1:7" ht="19.899999999999999" customHeight="1">
      <c r="A2970" s="515">
        <f t="shared" si="957"/>
        <v>0</v>
      </c>
      <c r="B2970" s="478">
        <f t="shared" si="958"/>
        <v>0</v>
      </c>
      <c r="C2970" s="469"/>
      <c r="D2970" s="479">
        <f t="shared" si="959"/>
        <v>0</v>
      </c>
      <c r="E2970" s="472">
        <f t="shared" ref="E2970:E2977" si="960">D2970*$G$23</f>
        <v>0</v>
      </c>
      <c r="F2970" s="475">
        <f>IF(C2970="",0,IFERROR(VLOOKUP(COUNTIF($A$1:A2970,"ANALISIS DE PRECIOS"),T_Rendimiento_Equipo,5,FALSE),0))</f>
        <v>0</v>
      </c>
      <c r="G2970" s="472">
        <f t="shared" ref="G2970:G2977" si="961">IFERROR(ROUND(E2970/F2970,2),0)</f>
        <v>0</v>
      </c>
    </row>
    <row r="2971" spans="1:7" ht="19.899999999999999" customHeight="1">
      <c r="A2971" s="515">
        <f t="shared" si="957"/>
        <v>0</v>
      </c>
      <c r="B2971" s="478">
        <f t="shared" si="958"/>
        <v>0</v>
      </c>
      <c r="C2971" s="480"/>
      <c r="D2971" s="479">
        <f t="shared" si="959"/>
        <v>0</v>
      </c>
      <c r="E2971" s="472">
        <f t="shared" si="960"/>
        <v>0</v>
      </c>
      <c r="F2971" s="475">
        <f>IF(C2971="",0,IFERROR(VLOOKUP(COUNTIF($A$1:A2971,"ANALISIS DE PRECIOS"),T_Rendimiento_Equipo,5,FALSE),0))</f>
        <v>0</v>
      </c>
      <c r="G2971" s="472">
        <f t="shared" si="961"/>
        <v>0</v>
      </c>
    </row>
    <row r="2972" spans="1:7" ht="19.899999999999999" customHeight="1">
      <c r="A2972" s="515">
        <f t="shared" si="957"/>
        <v>0</v>
      </c>
      <c r="B2972" s="478">
        <f t="shared" si="958"/>
        <v>0</v>
      </c>
      <c r="C2972" s="480"/>
      <c r="D2972" s="479">
        <f t="shared" si="959"/>
        <v>0</v>
      </c>
      <c r="E2972" s="472">
        <f t="shared" si="960"/>
        <v>0</v>
      </c>
      <c r="F2972" s="475">
        <f>IF(C2972="",0,IFERROR(VLOOKUP(COUNTIF($A$1:A2972,"ANALISIS DE PRECIOS"),T_Rendimiento_Equipo,5,FALSE),0))</f>
        <v>0</v>
      </c>
      <c r="G2972" s="472">
        <f t="shared" si="961"/>
        <v>0</v>
      </c>
    </row>
    <row r="2973" spans="1:7" ht="19.899999999999999" customHeight="1">
      <c r="A2973" s="515">
        <f t="shared" si="957"/>
        <v>0</v>
      </c>
      <c r="B2973" s="478">
        <f t="shared" si="958"/>
        <v>0</v>
      </c>
      <c r="C2973" s="480"/>
      <c r="D2973" s="479">
        <f t="shared" si="959"/>
        <v>0</v>
      </c>
      <c r="E2973" s="472">
        <f t="shared" si="960"/>
        <v>0</v>
      </c>
      <c r="F2973" s="475">
        <f>IF(C2973="",0,IFERROR(VLOOKUP(COUNTIF($A$1:A2973,"ANALISIS DE PRECIOS"),T_Rendimiento_Equipo,5,FALSE),0))</f>
        <v>0</v>
      </c>
      <c r="G2973" s="472">
        <f t="shared" si="961"/>
        <v>0</v>
      </c>
    </row>
    <row r="2974" spans="1:7" ht="19.899999999999999" customHeight="1">
      <c r="A2974" s="515">
        <f t="shared" si="957"/>
        <v>0</v>
      </c>
      <c r="B2974" s="478">
        <f t="shared" si="958"/>
        <v>0</v>
      </c>
      <c r="C2974" s="480"/>
      <c r="D2974" s="479">
        <f t="shared" si="959"/>
        <v>0</v>
      </c>
      <c r="E2974" s="472">
        <f t="shared" si="960"/>
        <v>0</v>
      </c>
      <c r="F2974" s="475">
        <f>IF(C2974="",0,IFERROR(VLOOKUP(COUNTIF($A$1:A2974,"ANALISIS DE PRECIOS"),T_Rendimiento_Equipo,5,FALSE),0))</f>
        <v>0</v>
      </c>
      <c r="G2974" s="472">
        <f t="shared" si="961"/>
        <v>0</v>
      </c>
    </row>
    <row r="2975" spans="1:7" ht="19.899999999999999" customHeight="1">
      <c r="A2975" s="515">
        <f t="shared" si="957"/>
        <v>0</v>
      </c>
      <c r="B2975" s="478">
        <f t="shared" si="958"/>
        <v>0</v>
      </c>
      <c r="C2975" s="480"/>
      <c r="D2975" s="479">
        <f t="shared" si="959"/>
        <v>0</v>
      </c>
      <c r="E2975" s="472">
        <f t="shared" si="960"/>
        <v>0</v>
      </c>
      <c r="F2975" s="475">
        <f>IF(C2975="",0,IFERROR(VLOOKUP(COUNTIF($A$1:A2975,"ANALISIS DE PRECIOS"),T_Rendimiento_Equipo,5,FALSE),0))</f>
        <v>0</v>
      </c>
      <c r="G2975" s="472">
        <f t="shared" si="961"/>
        <v>0</v>
      </c>
    </row>
    <row r="2976" spans="1:7" ht="19.899999999999999" customHeight="1">
      <c r="A2976" s="515">
        <f t="shared" si="957"/>
        <v>0</v>
      </c>
      <c r="B2976" s="478">
        <f t="shared" si="958"/>
        <v>0</v>
      </c>
      <c r="C2976" s="480"/>
      <c r="D2976" s="479">
        <f t="shared" si="959"/>
        <v>0</v>
      </c>
      <c r="E2976" s="472">
        <f t="shared" si="960"/>
        <v>0</v>
      </c>
      <c r="F2976" s="475">
        <f>IF(C2976="",0,IFERROR(VLOOKUP(COUNTIF($A$1:A2976,"ANALISIS DE PRECIOS"),T_Rendimiento_Equipo,5,FALSE),0))</f>
        <v>0</v>
      </c>
      <c r="G2976" s="472">
        <f t="shared" si="961"/>
        <v>0</v>
      </c>
    </row>
    <row r="2977" spans="1:7" ht="19.899999999999999" customHeight="1">
      <c r="A2977" s="515">
        <f t="shared" si="957"/>
        <v>0</v>
      </c>
      <c r="B2977" s="478">
        <f t="shared" si="958"/>
        <v>0</v>
      </c>
      <c r="C2977" s="469"/>
      <c r="D2977" s="479">
        <f t="shared" si="959"/>
        <v>0</v>
      </c>
      <c r="E2977" s="472">
        <f t="shared" si="960"/>
        <v>0</v>
      </c>
      <c r="F2977" s="475">
        <f>IF(C2977="",0,IFERROR(VLOOKUP(COUNTIF($A$1:A2977,"ANALISIS DE PRECIOS"),T_Rendimiento_Equipo,5,FALSE),0))</f>
        <v>0</v>
      </c>
      <c r="G2977" s="472">
        <f t="shared" si="961"/>
        <v>0</v>
      </c>
    </row>
    <row r="2978" spans="1:7" ht="19.899999999999999" customHeight="1">
      <c r="A2978" s="516"/>
      <c r="B2978" s="459"/>
      <c r="C2978" s="163"/>
      <c r="D2978" s="459"/>
      <c r="E2978" s="460"/>
      <c r="F2978" s="650" t="s">
        <v>26</v>
      </c>
      <c r="G2978" s="517">
        <f>SUBTOTAL(9,G2969:G2977)</f>
        <v>0</v>
      </c>
    </row>
    <row r="2979" spans="1:7" ht="19.899999999999999" customHeight="1">
      <c r="A2979" s="513"/>
      <c r="B2979" s="163"/>
      <c r="C2979" s="455" t="s">
        <v>712</v>
      </c>
      <c r="D2979" s="459"/>
      <c r="E2979" s="460"/>
      <c r="F2979" s="461"/>
      <c r="G2979" s="514"/>
    </row>
    <row r="2980" spans="1:7" ht="19.899999999999999" customHeight="1">
      <c r="A2980" s="677" t="s">
        <v>575</v>
      </c>
      <c r="B2980" s="678"/>
      <c r="C2980" s="679" t="s">
        <v>0</v>
      </c>
      <c r="D2980" s="681" t="s">
        <v>23</v>
      </c>
      <c r="E2980" s="681" t="s">
        <v>1830</v>
      </c>
      <c r="F2980" s="683" t="s">
        <v>1006</v>
      </c>
      <c r="G2980" s="685" t="s">
        <v>25</v>
      </c>
    </row>
    <row r="2981" spans="1:7" ht="19.899999999999999" customHeight="1">
      <c r="A2981" s="477" t="s">
        <v>576</v>
      </c>
      <c r="B2981" s="477" t="s">
        <v>577</v>
      </c>
      <c r="C2981" s="680"/>
      <c r="D2981" s="682"/>
      <c r="E2981" s="682"/>
      <c r="F2981" s="684"/>
      <c r="G2981" s="686"/>
    </row>
    <row r="2982" spans="1:7" ht="19.899999999999999" customHeight="1">
      <c r="A2982" s="515">
        <f t="shared" ref="A2982:A2988" si="962">IFERROR(VLOOKUP(C2982,T_Insumos,4,FALSE),0)</f>
        <v>0</v>
      </c>
      <c r="B2982" s="478">
        <f t="shared" ref="B2982:B2988" si="963">IFERROR(VLOOKUP(C2982,T_Insumos,5,FALSE),0)</f>
        <v>0</v>
      </c>
      <c r="C2982" s="482"/>
      <c r="D2982" s="475"/>
      <c r="E2982" s="472">
        <f t="shared" ref="E2982:E2988" si="964">IFERROR(VLOOKUP(C2982,T_Insumos,3,FALSE),0)</f>
        <v>0</v>
      </c>
      <c r="F2982" s="475">
        <f>IF(C2982="",0,IFERROR(VLOOKUP(COUNTIF($A$1:A2982,"ANALISIS DE PRECIOS"),T_Rendimiento_Equipo,5,FALSE),0))</f>
        <v>0</v>
      </c>
      <c r="G2982" s="472">
        <f>IFERROR(ROUND(D2982*E2982/F2982,2),0)</f>
        <v>0</v>
      </c>
    </row>
    <row r="2983" spans="1:7" ht="19.899999999999999" customHeight="1">
      <c r="A2983" s="515">
        <f t="shared" si="962"/>
        <v>0</v>
      </c>
      <c r="B2983" s="478">
        <f t="shared" si="963"/>
        <v>0</v>
      </c>
      <c r="C2983" s="469"/>
      <c r="D2983" s="475"/>
      <c r="E2983" s="472">
        <f t="shared" si="964"/>
        <v>0</v>
      </c>
      <c r="F2983" s="475">
        <f>IF(C2983="",0,IFERROR(VLOOKUP(COUNTIF($A$1:A2983,"ANALISIS DE PRECIOS"),T_Rendimiento_Equipo,5,FALSE),0))</f>
        <v>0</v>
      </c>
      <c r="G2983" s="472">
        <f t="shared" ref="G2983:G2988" si="965">IFERROR(ROUND(D2983*E2983/F2983,2),0)</f>
        <v>0</v>
      </c>
    </row>
    <row r="2984" spans="1:7" ht="19.899999999999999" customHeight="1">
      <c r="A2984" s="515">
        <f t="shared" si="962"/>
        <v>0</v>
      </c>
      <c r="B2984" s="478">
        <f t="shared" si="963"/>
        <v>0</v>
      </c>
      <c r="C2984" s="469"/>
      <c r="D2984" s="475"/>
      <c r="E2984" s="472">
        <f t="shared" si="964"/>
        <v>0</v>
      </c>
      <c r="F2984" s="475">
        <f>IF(C2984="",0,IFERROR(VLOOKUP(COUNTIF($A$1:A2984,"ANALISIS DE PRECIOS"),T_Rendimiento_Equipo,5,FALSE),0))</f>
        <v>0</v>
      </c>
      <c r="G2984" s="472">
        <f t="shared" si="965"/>
        <v>0</v>
      </c>
    </row>
    <row r="2985" spans="1:7" ht="19.899999999999999" customHeight="1">
      <c r="A2985" s="515">
        <f t="shared" si="962"/>
        <v>0</v>
      </c>
      <c r="B2985" s="478">
        <f t="shared" si="963"/>
        <v>0</v>
      </c>
      <c r="C2985" s="469"/>
      <c r="D2985" s="475"/>
      <c r="E2985" s="472">
        <f t="shared" si="964"/>
        <v>0</v>
      </c>
      <c r="F2985" s="475">
        <f>IF(C2985="",0,IFERROR(VLOOKUP(COUNTIF($A$1:A2985,"ANALISIS DE PRECIOS"),T_Rendimiento_Equipo,5,FALSE),0))</f>
        <v>0</v>
      </c>
      <c r="G2985" s="472">
        <f t="shared" si="965"/>
        <v>0</v>
      </c>
    </row>
    <row r="2986" spans="1:7" ht="19.899999999999999" customHeight="1">
      <c r="A2986" s="515">
        <f t="shared" si="962"/>
        <v>0</v>
      </c>
      <c r="B2986" s="478">
        <f t="shared" si="963"/>
        <v>0</v>
      </c>
      <c r="C2986" s="469"/>
      <c r="D2986" s="475"/>
      <c r="E2986" s="472">
        <f t="shared" si="964"/>
        <v>0</v>
      </c>
      <c r="F2986" s="475">
        <f>IF(C2986="",0,IFERROR(VLOOKUP(COUNTIF($A$1:A2986,"ANALISIS DE PRECIOS"),T_Rendimiento_Equipo,5,FALSE),0))</f>
        <v>0</v>
      </c>
      <c r="G2986" s="472">
        <f t="shared" si="965"/>
        <v>0</v>
      </c>
    </row>
    <row r="2987" spans="1:7" ht="19.899999999999999" customHeight="1">
      <c r="A2987" s="515">
        <f t="shared" si="962"/>
        <v>0</v>
      </c>
      <c r="B2987" s="478">
        <f t="shared" si="963"/>
        <v>0</v>
      </c>
      <c r="C2987" s="469"/>
      <c r="D2987" s="483"/>
      <c r="E2987" s="472">
        <f t="shared" si="964"/>
        <v>0</v>
      </c>
      <c r="F2987" s="475">
        <f>IF(C2987="",0,IFERROR(VLOOKUP(COUNTIF($A$1:A2987,"ANALISIS DE PRECIOS"),T_Rendimiento_Equipo,5,FALSE),0))</f>
        <v>0</v>
      </c>
      <c r="G2987" s="472">
        <f t="shared" si="965"/>
        <v>0</v>
      </c>
    </row>
    <row r="2988" spans="1:7" ht="19.899999999999999" customHeight="1">
      <c r="A2988" s="515">
        <f t="shared" si="962"/>
        <v>0</v>
      </c>
      <c r="B2988" s="478">
        <f t="shared" si="963"/>
        <v>0</v>
      </c>
      <c r="C2988" s="478"/>
      <c r="D2988" s="484"/>
      <c r="E2988" s="472">
        <f t="shared" si="964"/>
        <v>0</v>
      </c>
      <c r="F2988" s="475">
        <f>IF(C2988="",0,IFERROR(VLOOKUP(COUNTIF($A$1:A2988,"ANALISIS DE PRECIOS"),T_Rendimiento_Equipo,5,FALSE),0))</f>
        <v>0</v>
      </c>
      <c r="G2988" s="472">
        <f t="shared" si="965"/>
        <v>0</v>
      </c>
    </row>
    <row r="2989" spans="1:7" ht="19.899999999999999" customHeight="1">
      <c r="A2989" s="516"/>
      <c r="B2989" s="459"/>
      <c r="C2989" s="163"/>
      <c r="D2989" s="459"/>
      <c r="E2989" s="460"/>
      <c r="F2989" s="650" t="s">
        <v>27</v>
      </c>
      <c r="G2989" s="518">
        <f>SUBTOTAL(9,G2982:G2988)</f>
        <v>0</v>
      </c>
    </row>
    <row r="2990" spans="1:7" ht="19.899999999999999" customHeight="1">
      <c r="A2990" s="513"/>
      <c r="B2990" s="163"/>
      <c r="C2990" s="455" t="s">
        <v>1013</v>
      </c>
      <c r="D2990" s="459"/>
      <c r="E2990" s="460"/>
      <c r="F2990" s="461"/>
      <c r="G2990" s="514"/>
    </row>
    <row r="2991" spans="1:7" ht="19.899999999999999" customHeight="1">
      <c r="A2991" s="677" t="s">
        <v>575</v>
      </c>
      <c r="B2991" s="678"/>
      <c r="C2991" s="679" t="s">
        <v>0</v>
      </c>
      <c r="D2991" s="679" t="s">
        <v>1865</v>
      </c>
      <c r="E2991" s="681" t="s">
        <v>23</v>
      </c>
      <c r="F2991" s="683" t="s">
        <v>24</v>
      </c>
      <c r="G2991" s="685" t="s">
        <v>25</v>
      </c>
    </row>
    <row r="2992" spans="1:7" ht="19.899999999999999" customHeight="1">
      <c r="A2992" s="477" t="s">
        <v>576</v>
      </c>
      <c r="B2992" s="477" t="s">
        <v>577</v>
      </c>
      <c r="C2992" s="680"/>
      <c r="D2992" s="680"/>
      <c r="E2992" s="682"/>
      <c r="F2992" s="684"/>
      <c r="G2992" s="686"/>
    </row>
    <row r="2993" spans="1:7" ht="19.899999999999999" customHeight="1">
      <c r="A2993" s="515">
        <f t="shared" ref="A2993:A3003" si="966">IFERROR(VLOOKUP(C2993,T_Insumos,4,FALSE),0)</f>
        <v>0</v>
      </c>
      <c r="B2993" s="478">
        <f t="shared" ref="B2993:B3003" si="967">IFERROR(VLOOKUP(C2993,T_Insumos,5,FALSE),0)</f>
        <v>0</v>
      </c>
      <c r="C2993" s="478"/>
      <c r="D2993" s="526">
        <f t="shared" ref="D2993:D3003" si="968">IFERROR(VLOOKUP(C2993,T_Insumos,2,FALSE),0)</f>
        <v>0</v>
      </c>
      <c r="E2993" s="470"/>
      <c r="F2993" s="472">
        <f t="shared" ref="F2993:F3003" si="969">IFERROR(VLOOKUP(C2993,T_Insumos,3,FALSE),0)</f>
        <v>0</v>
      </c>
      <c r="G2993" s="472">
        <f>ROUND(E2993*F2993,2)</f>
        <v>0</v>
      </c>
    </row>
    <row r="2994" spans="1:7" ht="19.899999999999999" customHeight="1">
      <c r="A2994" s="515">
        <f t="shared" si="966"/>
        <v>0</v>
      </c>
      <c r="B2994" s="478">
        <f t="shared" si="967"/>
        <v>0</v>
      </c>
      <c r="C2994" s="478"/>
      <c r="D2994" s="526">
        <f t="shared" si="968"/>
        <v>0</v>
      </c>
      <c r="E2994" s="470"/>
      <c r="F2994" s="472">
        <f t="shared" si="969"/>
        <v>0</v>
      </c>
      <c r="G2994" s="472">
        <f t="shared" ref="G2994:G3003" si="970">ROUND(E2994*F2994,2)</f>
        <v>0</v>
      </c>
    </row>
    <row r="2995" spans="1:7" ht="19.899999999999999" customHeight="1">
      <c r="A2995" s="515">
        <f t="shared" si="966"/>
        <v>0</v>
      </c>
      <c r="B2995" s="478">
        <f t="shared" si="967"/>
        <v>0</v>
      </c>
      <c r="C2995" s="478"/>
      <c r="D2995" s="526">
        <f t="shared" si="968"/>
        <v>0</v>
      </c>
      <c r="E2995" s="470"/>
      <c r="F2995" s="472">
        <f t="shared" si="969"/>
        <v>0</v>
      </c>
      <c r="G2995" s="472">
        <f t="shared" si="970"/>
        <v>0</v>
      </c>
    </row>
    <row r="2996" spans="1:7" ht="19.899999999999999" customHeight="1">
      <c r="A2996" s="515">
        <f t="shared" si="966"/>
        <v>0</v>
      </c>
      <c r="B2996" s="478">
        <f t="shared" si="967"/>
        <v>0</v>
      </c>
      <c r="C2996" s="478"/>
      <c r="D2996" s="526">
        <f t="shared" si="968"/>
        <v>0</v>
      </c>
      <c r="E2996" s="470"/>
      <c r="F2996" s="472">
        <f t="shared" si="969"/>
        <v>0</v>
      </c>
      <c r="G2996" s="472">
        <f t="shared" si="970"/>
        <v>0</v>
      </c>
    </row>
    <row r="2997" spans="1:7" ht="19.899999999999999" customHeight="1">
      <c r="A2997" s="515">
        <f t="shared" si="966"/>
        <v>0</v>
      </c>
      <c r="B2997" s="478">
        <f t="shared" si="967"/>
        <v>0</v>
      </c>
      <c r="C2997" s="478"/>
      <c r="D2997" s="526">
        <f t="shared" si="968"/>
        <v>0</v>
      </c>
      <c r="E2997" s="470"/>
      <c r="F2997" s="472">
        <f t="shared" si="969"/>
        <v>0</v>
      </c>
      <c r="G2997" s="472">
        <f t="shared" si="970"/>
        <v>0</v>
      </c>
    </row>
    <row r="2998" spans="1:7" ht="19.899999999999999" customHeight="1">
      <c r="A2998" s="515">
        <f t="shared" si="966"/>
        <v>0</v>
      </c>
      <c r="B2998" s="478">
        <f t="shared" si="967"/>
        <v>0</v>
      </c>
      <c r="C2998" s="478"/>
      <c r="D2998" s="526">
        <f t="shared" si="968"/>
        <v>0</v>
      </c>
      <c r="E2998" s="470"/>
      <c r="F2998" s="472">
        <f t="shared" si="969"/>
        <v>0</v>
      </c>
      <c r="G2998" s="472">
        <f t="shared" si="970"/>
        <v>0</v>
      </c>
    </row>
    <row r="2999" spans="1:7" ht="19.899999999999999" customHeight="1">
      <c r="A2999" s="515">
        <f t="shared" si="966"/>
        <v>0</v>
      </c>
      <c r="B2999" s="478">
        <f t="shared" si="967"/>
        <v>0</v>
      </c>
      <c r="C2999" s="478"/>
      <c r="D2999" s="526">
        <f t="shared" si="968"/>
        <v>0</v>
      </c>
      <c r="E2999" s="470"/>
      <c r="F2999" s="472">
        <f t="shared" si="969"/>
        <v>0</v>
      </c>
      <c r="G2999" s="472">
        <f t="shared" si="970"/>
        <v>0</v>
      </c>
    </row>
    <row r="3000" spans="1:7" ht="19.899999999999999" customHeight="1">
      <c r="A3000" s="515">
        <f t="shared" si="966"/>
        <v>0</v>
      </c>
      <c r="B3000" s="478">
        <f t="shared" si="967"/>
        <v>0</v>
      </c>
      <c r="C3000" s="478"/>
      <c r="D3000" s="526">
        <f t="shared" si="968"/>
        <v>0</v>
      </c>
      <c r="E3000" s="470"/>
      <c r="F3000" s="472">
        <f t="shared" si="969"/>
        <v>0</v>
      </c>
      <c r="G3000" s="472">
        <f t="shared" si="970"/>
        <v>0</v>
      </c>
    </row>
    <row r="3001" spans="1:7" ht="19.899999999999999" customHeight="1">
      <c r="A3001" s="515">
        <f t="shared" si="966"/>
        <v>0</v>
      </c>
      <c r="B3001" s="478">
        <f t="shared" si="967"/>
        <v>0</v>
      </c>
      <c r="C3001" s="478"/>
      <c r="D3001" s="526">
        <f t="shared" si="968"/>
        <v>0</v>
      </c>
      <c r="E3001" s="470"/>
      <c r="F3001" s="472">
        <f t="shared" si="969"/>
        <v>0</v>
      </c>
      <c r="G3001" s="472">
        <f t="shared" si="970"/>
        <v>0</v>
      </c>
    </row>
    <row r="3002" spans="1:7" ht="19.899999999999999" customHeight="1">
      <c r="A3002" s="515">
        <f t="shared" si="966"/>
        <v>0</v>
      </c>
      <c r="B3002" s="478">
        <f t="shared" si="967"/>
        <v>0</v>
      </c>
      <c r="C3002" s="478"/>
      <c r="D3002" s="526">
        <f t="shared" si="968"/>
        <v>0</v>
      </c>
      <c r="E3002" s="470"/>
      <c r="F3002" s="472">
        <f t="shared" si="969"/>
        <v>0</v>
      </c>
      <c r="G3002" s="472">
        <f t="shared" si="970"/>
        <v>0</v>
      </c>
    </row>
    <row r="3003" spans="1:7" ht="19.899999999999999" customHeight="1">
      <c r="A3003" s="515">
        <f t="shared" si="966"/>
        <v>0</v>
      </c>
      <c r="B3003" s="478">
        <f t="shared" si="967"/>
        <v>0</v>
      </c>
      <c r="C3003" s="478"/>
      <c r="D3003" s="526">
        <f t="shared" si="968"/>
        <v>0</v>
      </c>
      <c r="E3003" s="470"/>
      <c r="F3003" s="472">
        <f t="shared" si="969"/>
        <v>0</v>
      </c>
      <c r="G3003" s="472">
        <f t="shared" si="970"/>
        <v>0</v>
      </c>
    </row>
    <row r="3004" spans="1:7" ht="19.899999999999999" customHeight="1">
      <c r="A3004" s="513"/>
      <c r="B3004" s="163"/>
      <c r="C3004" s="163"/>
      <c r="D3004" s="459"/>
      <c r="E3004" s="460"/>
      <c r="F3004" s="650" t="s">
        <v>28</v>
      </c>
      <c r="G3004" s="518">
        <f>SUBTOTAL(9,G2993:G3003)</f>
        <v>0</v>
      </c>
    </row>
    <row r="3005" spans="1:7" ht="19.899999999999999" customHeight="1">
      <c r="A3005" s="513"/>
      <c r="B3005" s="163"/>
      <c r="C3005" s="455" t="s">
        <v>1014</v>
      </c>
      <c r="D3005" s="459"/>
      <c r="E3005" s="460"/>
      <c r="F3005" s="461"/>
      <c r="G3005" s="514"/>
    </row>
    <row r="3006" spans="1:7" ht="19.899999999999999" customHeight="1">
      <c r="A3006" s="677" t="s">
        <v>575</v>
      </c>
      <c r="B3006" s="678"/>
      <c r="C3006" s="679" t="s">
        <v>0</v>
      </c>
      <c r="D3006" s="679" t="s">
        <v>1865</v>
      </c>
      <c r="E3006" s="681" t="s">
        <v>23</v>
      </c>
      <c r="F3006" s="683" t="s">
        <v>24</v>
      </c>
      <c r="G3006" s="685" t="s">
        <v>25</v>
      </c>
    </row>
    <row r="3007" spans="1:7" ht="19.899999999999999" customHeight="1">
      <c r="A3007" s="477" t="s">
        <v>576</v>
      </c>
      <c r="B3007" s="477" t="s">
        <v>577</v>
      </c>
      <c r="C3007" s="680"/>
      <c r="D3007" s="680"/>
      <c r="E3007" s="682"/>
      <c r="F3007" s="684"/>
      <c r="G3007" s="686"/>
    </row>
    <row r="3008" spans="1:7" ht="19.899999999999999" customHeight="1">
      <c r="A3008" s="515">
        <f>IFERROR(VLOOKUP(C3008,T_Insumos,4,FALSE),0)</f>
        <v>0</v>
      </c>
      <c r="B3008" s="478">
        <f>IFERROR(VLOOKUP(C3008,T_Insumos,5,FALSE),0)</f>
        <v>0</v>
      </c>
      <c r="C3008" s="469"/>
      <c r="D3008" s="526">
        <f>IF(C3008=0,0,"$/tnkm")</f>
        <v>0</v>
      </c>
      <c r="E3008" s="470"/>
      <c r="F3008" s="472">
        <f>IFERROR(VLOOKUP(C3008,T_Insumos,3,FALSE),0)</f>
        <v>0</v>
      </c>
      <c r="G3008" s="472">
        <f>ROUND(E3008*F3008,2)</f>
        <v>0</v>
      </c>
    </row>
    <row r="3009" spans="1:7" ht="19.899999999999999" customHeight="1">
      <c r="A3009" s="515">
        <f>IFERROR(VLOOKUP(C3009,T_Insumos,4,FALSE),0)</f>
        <v>0</v>
      </c>
      <c r="B3009" s="478">
        <f>IFERROR(VLOOKUP(C3009,T_Insumos,5,FALSE),0)</f>
        <v>0</v>
      </c>
      <c r="C3009" s="469"/>
      <c r="D3009" s="526">
        <f>IF(C3009=0,0,"$/tnkm")</f>
        <v>0</v>
      </c>
      <c r="E3009" s="486"/>
      <c r="F3009" s="472">
        <f>IFERROR(VLOOKUP(C3009,T_Insumos,3,FALSE),0)</f>
        <v>0</v>
      </c>
      <c r="G3009" s="472">
        <f t="shared" ref="G3009" si="971">ROUND(E3009*F3009,2)</f>
        <v>0</v>
      </c>
    </row>
    <row r="3010" spans="1:7" ht="19.899999999999999" customHeight="1">
      <c r="A3010" s="513"/>
      <c r="B3010" s="163"/>
      <c r="C3010" s="163"/>
      <c r="D3010" s="459"/>
      <c r="E3010" s="460"/>
      <c r="F3010" s="650" t="s">
        <v>1015</v>
      </c>
      <c r="G3010" s="518">
        <f>SUBTOTAL(9,G3008:G3009)</f>
        <v>0</v>
      </c>
    </row>
    <row r="3011" spans="1:7" ht="19.899999999999999" customHeight="1">
      <c r="A3011" s="516"/>
      <c r="B3011" s="459"/>
      <c r="C3011" s="163"/>
      <c r="D3011" s="459"/>
      <c r="E3011" s="460"/>
      <c r="F3011" s="461"/>
      <c r="G3011" s="514"/>
    </row>
    <row r="3012" spans="1:7" ht="19.899999999999999" customHeight="1">
      <c r="A3012" s="574" t="str">
        <f>B2946</f>
        <v>6.2.1</v>
      </c>
      <c r="B3012" s="571" t="str">
        <f ca="1">C2946</f>
        <v>Limpieza y preparación del terreno</v>
      </c>
      <c r="C3012" s="459"/>
      <c r="D3012" s="459" t="s">
        <v>1831</v>
      </c>
      <c r="E3012" s="572"/>
      <c r="F3012" s="573" t="str">
        <f ca="1">"$/"&amp;G2946</f>
        <v>$/m</v>
      </c>
      <c r="G3012" s="523">
        <f>SUBTOTAL(9,G2969:G3011)</f>
        <v>0</v>
      </c>
    </row>
    <row r="3013" spans="1:7" ht="19.899999999999999" customHeight="1">
      <c r="A3013" s="519"/>
      <c r="B3013" s="520"/>
      <c r="C3013" s="521"/>
      <c r="D3013" s="521" t="s">
        <v>2041</v>
      </c>
      <c r="E3013" s="522"/>
      <c r="F3013" s="575" t="str">
        <f ca="1">"$/"&amp;G2946</f>
        <v>$/m</v>
      </c>
      <c r="G3013" s="523">
        <f>ROUND(G3012*Coeficiente_Paso,2)</f>
        <v>0</v>
      </c>
    </row>
    <row r="3014" spans="1:7" ht="19.899999999999999" customHeight="1">
      <c r="A3014" s="163"/>
      <c r="B3014" s="163"/>
      <c r="C3014" s="163"/>
      <c r="D3014" s="163"/>
      <c r="E3014" s="163"/>
      <c r="F3014" s="163"/>
      <c r="G3014" s="163"/>
    </row>
    <row r="3015" spans="1:7" ht="19.899999999999999" customHeight="1">
      <c r="A3015" s="687" t="s">
        <v>30</v>
      </c>
      <c r="B3015" s="688"/>
      <c r="C3015" s="688"/>
      <c r="D3015" s="688"/>
      <c r="E3015" s="688"/>
      <c r="F3015" s="688"/>
      <c r="G3015" s="689"/>
    </row>
    <row r="3016" spans="1:7" ht="19.899999999999999" customHeight="1">
      <c r="A3016" s="502" t="s">
        <v>710</v>
      </c>
      <c r="B3016" s="453" t="str">
        <f>Comitente</f>
        <v>DEPARTAMENTO DE HIDRAULICA</v>
      </c>
      <c r="C3016" s="454"/>
      <c r="D3016" s="455"/>
      <c r="E3016" s="455"/>
      <c r="F3016" s="456"/>
      <c r="G3016" s="503"/>
    </row>
    <row r="3017" spans="1:7" ht="19.899999999999999" customHeight="1">
      <c r="A3017" s="502" t="s">
        <v>711</v>
      </c>
      <c r="B3017" s="453">
        <f>Contratista</f>
        <v>0</v>
      </c>
      <c r="C3017" s="457"/>
      <c r="D3017" s="457"/>
      <c r="E3017" s="457"/>
      <c r="F3017" s="453"/>
      <c r="G3017" s="504"/>
    </row>
    <row r="3018" spans="1:7" ht="19.899999999999999" customHeight="1">
      <c r="A3018" s="502" t="s">
        <v>20</v>
      </c>
      <c r="B3018" s="453" t="str">
        <f>Obra</f>
        <v>MEJORA DE LA RED DE RIEGO DEL VALLE DE JÁCHAL</v>
      </c>
      <c r="C3018" s="457"/>
      <c r="D3018" s="457"/>
      <c r="E3018" s="457"/>
      <c r="F3018" s="453" t="s">
        <v>31</v>
      </c>
      <c r="G3018" s="504" t="str">
        <f>Fecha_Base</f>
        <v>XX/07/2020</v>
      </c>
    </row>
    <row r="3019" spans="1:7" ht="19.899999999999999" customHeight="1">
      <c r="A3019" s="505" t="s">
        <v>709</v>
      </c>
      <c r="B3019" s="458" t="str">
        <f>Ubicación</f>
        <v>JACHAL</v>
      </c>
      <c r="C3019" s="458"/>
      <c r="D3019" s="459"/>
      <c r="E3019" s="460"/>
      <c r="F3019" s="461"/>
      <c r="G3019" s="506"/>
    </row>
    <row r="3020" spans="1:7" ht="19.899999999999999" customHeight="1">
      <c r="A3020" s="505" t="s">
        <v>32</v>
      </c>
      <c r="B3020" s="462">
        <f>IFERROR(VALUE(LEFT(B3021,FIND(".",B3021)-1)),"")</f>
        <v>6</v>
      </c>
      <c r="C3020" s="163" t="str">
        <f ca="1">IFERROR(VLOOKUP(B3020,T_Computo_Presupuesto,2,FALSE),0)</f>
        <v>CANAL DEL NORTE</v>
      </c>
      <c r="D3020" s="163"/>
      <c r="E3020" s="460"/>
      <c r="F3020" s="461"/>
      <c r="G3020" s="506"/>
    </row>
    <row r="3021" spans="1:7" ht="19.899999999999999" customHeight="1">
      <c r="A3021" s="505" t="s">
        <v>21</v>
      </c>
      <c r="B3021" s="463" t="str">
        <f>IFERROR(VLOOKUP(COUNTIF($A$1:A3021,"ANALISIS DE PRECIOS"),T_NumeroItem,2,FALSE),"")</f>
        <v>6.2.2</v>
      </c>
      <c r="C3021" s="690" t="str">
        <f ca="1">IFERROR(VLOOKUP(B3021,T_Computo_Presupuesto,2,FALSE),0)</f>
        <v>Excavación</v>
      </c>
      <c r="D3021" s="690"/>
      <c r="E3021" s="690"/>
      <c r="F3021" s="458" t="s">
        <v>22</v>
      </c>
      <c r="G3021" s="507" t="str">
        <f ca="1">IFERROR(VLOOKUP(B3021,T_Computo_Presupuesto,4,FALSE),0)</f>
        <v>m3</v>
      </c>
    </row>
    <row r="3022" spans="1:7" ht="19.899999999999999" customHeight="1">
      <c r="A3022" s="505"/>
      <c r="B3022" s="458"/>
      <c r="C3022" s="163"/>
      <c r="D3022" s="459"/>
      <c r="E3022" s="460"/>
      <c r="F3022" s="163"/>
      <c r="G3022" s="508"/>
    </row>
    <row r="3023" spans="1:7" ht="19.899999999999999" customHeight="1">
      <c r="A3023" s="509"/>
      <c r="B3023" s="464"/>
      <c r="C3023" s="465" t="s">
        <v>998</v>
      </c>
      <c r="D3023" s="464"/>
      <c r="E3023" s="464"/>
      <c r="F3023" s="464"/>
      <c r="G3023" s="510"/>
    </row>
    <row r="3024" spans="1:7" ht="19.899999999999999" customHeight="1">
      <c r="A3024" s="505"/>
      <c r="B3024" s="466"/>
      <c r="C3024" s="163"/>
      <c r="D3024" s="459"/>
      <c r="E3024" s="460"/>
      <c r="F3024" s="458"/>
      <c r="G3024" s="507"/>
    </row>
    <row r="3025" spans="1:7" ht="19.899999999999999" customHeight="1">
      <c r="A3025" s="505"/>
      <c r="B3025" s="466"/>
      <c r="C3025" s="467" t="s">
        <v>999</v>
      </c>
      <c r="D3025" s="468" t="s">
        <v>23</v>
      </c>
      <c r="E3025" s="468" t="s">
        <v>1000</v>
      </c>
      <c r="F3025" s="468" t="s">
        <v>1001</v>
      </c>
      <c r="G3025" s="467" t="s">
        <v>1002</v>
      </c>
    </row>
    <row r="3026" spans="1:7" ht="19.899999999999999" customHeight="1">
      <c r="A3026" s="505"/>
      <c r="B3026" s="466"/>
      <c r="C3026" s="469"/>
      <c r="D3026" s="470"/>
      <c r="E3026" s="471">
        <f t="shared" ref="E3026:E3035" si="972">IFERROR(VLOOKUP(C3026,T_Equipos,4,FALSE),0)</f>
        <v>0</v>
      </c>
      <c r="F3026" s="472">
        <f t="shared" ref="F3026:F3035" si="973">IFERROR(VLOOKUP(C3026,T_Equipos,5,FALSE),0)</f>
        <v>0</v>
      </c>
      <c r="G3026" s="472">
        <f>ROUND(D3026*F3026,2)</f>
        <v>0</v>
      </c>
    </row>
    <row r="3027" spans="1:7" ht="19.899999999999999" customHeight="1">
      <c r="A3027" s="505"/>
      <c r="B3027" s="466"/>
      <c r="C3027" s="469"/>
      <c r="D3027" s="470"/>
      <c r="E3027" s="471">
        <f t="shared" si="972"/>
        <v>0</v>
      </c>
      <c r="F3027" s="472">
        <f t="shared" si="973"/>
        <v>0</v>
      </c>
      <c r="G3027" s="472">
        <f>ROUND(D3027*F3027,2)</f>
        <v>0</v>
      </c>
    </row>
    <row r="3028" spans="1:7" ht="19.899999999999999" customHeight="1">
      <c r="A3028" s="505"/>
      <c r="B3028" s="466"/>
      <c r="C3028" s="469"/>
      <c r="D3028" s="470"/>
      <c r="E3028" s="471">
        <f t="shared" si="972"/>
        <v>0</v>
      </c>
      <c r="F3028" s="472">
        <f t="shared" si="973"/>
        <v>0</v>
      </c>
      <c r="G3028" s="472">
        <f>ROUND(D3028*F3028,2)</f>
        <v>0</v>
      </c>
    </row>
    <row r="3029" spans="1:7" ht="19.899999999999999" customHeight="1">
      <c r="A3029" s="505"/>
      <c r="B3029" s="466"/>
      <c r="C3029" s="469"/>
      <c r="D3029" s="470"/>
      <c r="E3029" s="471">
        <f t="shared" si="972"/>
        <v>0</v>
      </c>
      <c r="F3029" s="472">
        <f t="shared" si="973"/>
        <v>0</v>
      </c>
      <c r="G3029" s="472">
        <f>ROUND(D3029*F3029,2)</f>
        <v>0</v>
      </c>
    </row>
    <row r="3030" spans="1:7" ht="19.899999999999999" customHeight="1">
      <c r="A3030" s="505"/>
      <c r="B3030" s="466"/>
      <c r="C3030" s="469"/>
      <c r="D3030" s="470"/>
      <c r="E3030" s="471">
        <f t="shared" si="972"/>
        <v>0</v>
      </c>
      <c r="F3030" s="472">
        <f t="shared" si="973"/>
        <v>0</v>
      </c>
      <c r="G3030" s="472">
        <f t="shared" ref="G3030:G3035" si="974">ROUND(D3030*F3030,2)</f>
        <v>0</v>
      </c>
    </row>
    <row r="3031" spans="1:7" ht="19.899999999999999" customHeight="1">
      <c r="A3031" s="505"/>
      <c r="B3031" s="466"/>
      <c r="C3031" s="469"/>
      <c r="D3031" s="470"/>
      <c r="E3031" s="471">
        <f t="shared" si="972"/>
        <v>0</v>
      </c>
      <c r="F3031" s="472">
        <f t="shared" si="973"/>
        <v>0</v>
      </c>
      <c r="G3031" s="472">
        <f t="shared" si="974"/>
        <v>0</v>
      </c>
    </row>
    <row r="3032" spans="1:7" ht="19.899999999999999" customHeight="1">
      <c r="A3032" s="505"/>
      <c r="B3032" s="466"/>
      <c r="C3032" s="469"/>
      <c r="D3032" s="470"/>
      <c r="E3032" s="471">
        <f t="shared" si="972"/>
        <v>0</v>
      </c>
      <c r="F3032" s="472">
        <f t="shared" si="973"/>
        <v>0</v>
      </c>
      <c r="G3032" s="472">
        <f t="shared" si="974"/>
        <v>0</v>
      </c>
    </row>
    <row r="3033" spans="1:7" ht="19.899999999999999" customHeight="1">
      <c r="A3033" s="505"/>
      <c r="B3033" s="466"/>
      <c r="C3033" s="469"/>
      <c r="D3033" s="470"/>
      <c r="E3033" s="471">
        <f t="shared" si="972"/>
        <v>0</v>
      </c>
      <c r="F3033" s="472">
        <f t="shared" si="973"/>
        <v>0</v>
      </c>
      <c r="G3033" s="472">
        <f t="shared" si="974"/>
        <v>0</v>
      </c>
    </row>
    <row r="3034" spans="1:7" ht="19.899999999999999" customHeight="1">
      <c r="A3034" s="505"/>
      <c r="B3034" s="466"/>
      <c r="C3034" s="469"/>
      <c r="D3034" s="470"/>
      <c r="E3034" s="471">
        <f t="shared" si="972"/>
        <v>0</v>
      </c>
      <c r="F3034" s="472">
        <f t="shared" si="973"/>
        <v>0</v>
      </c>
      <c r="G3034" s="472">
        <f t="shared" si="974"/>
        <v>0</v>
      </c>
    </row>
    <row r="3035" spans="1:7" ht="19.899999999999999" customHeight="1">
      <c r="A3035" s="505"/>
      <c r="B3035" s="466"/>
      <c r="C3035" s="469"/>
      <c r="D3035" s="470"/>
      <c r="E3035" s="471">
        <f t="shared" si="972"/>
        <v>0</v>
      </c>
      <c r="F3035" s="472">
        <f t="shared" si="973"/>
        <v>0</v>
      </c>
      <c r="G3035" s="472">
        <f t="shared" si="974"/>
        <v>0</v>
      </c>
    </row>
    <row r="3036" spans="1:7" ht="19.899999999999999" customHeight="1">
      <c r="A3036" s="505"/>
      <c r="B3036" s="466"/>
      <c r="C3036" s="163"/>
      <c r="D3036" s="163"/>
      <c r="E3036" s="473"/>
      <c r="F3036" s="458"/>
      <c r="G3036" s="507"/>
    </row>
    <row r="3037" spans="1:7" ht="19.899999999999999" customHeight="1">
      <c r="A3037" s="505"/>
      <c r="B3037" s="163"/>
      <c r="C3037" s="455" t="s">
        <v>1003</v>
      </c>
      <c r="D3037" s="458" t="s">
        <v>1000</v>
      </c>
      <c r="E3037" s="524">
        <f>SUMPRODUCT(D3026:D3035,E3026:E3035)</f>
        <v>0</v>
      </c>
      <c r="F3037" s="458" t="s">
        <v>1004</v>
      </c>
      <c r="G3037" s="525">
        <f>SUM(G3026:G3035)</f>
        <v>0</v>
      </c>
    </row>
    <row r="3038" spans="1:7" ht="19.899999999999999" customHeight="1">
      <c r="A3038" s="505"/>
      <c r="B3038" s="466"/>
      <c r="C3038" s="474"/>
      <c r="D3038" s="473"/>
      <c r="E3038" s="460"/>
      <c r="F3038" s="458"/>
      <c r="G3038" s="511"/>
    </row>
    <row r="3039" spans="1:7" ht="19.899999999999999" customHeight="1">
      <c r="A3039" s="512"/>
      <c r="B3039" s="466"/>
      <c r="C3039" s="458" t="s">
        <v>1005</v>
      </c>
      <c r="D3039" s="475"/>
      <c r="E3039" s="476" t="str">
        <f ca="1">G3021&amp;"/día"</f>
        <v>m3/día</v>
      </c>
      <c r="F3039" s="452"/>
      <c r="G3039" s="507"/>
    </row>
    <row r="3040" spans="1:7" ht="19.899999999999999" customHeight="1">
      <c r="A3040" s="505"/>
      <c r="B3040" s="466"/>
      <c r="C3040" s="163"/>
      <c r="D3040" s="459"/>
      <c r="E3040" s="460"/>
      <c r="F3040" s="458"/>
      <c r="G3040" s="507"/>
    </row>
    <row r="3041" spans="1:7" ht="19.899999999999999" customHeight="1">
      <c r="A3041" s="677" t="s">
        <v>575</v>
      </c>
      <c r="B3041" s="678"/>
      <c r="C3041" s="679" t="s">
        <v>0</v>
      </c>
      <c r="D3041" s="691" t="s">
        <v>1864</v>
      </c>
      <c r="E3041" s="691" t="s">
        <v>1863</v>
      </c>
      <c r="F3041" s="683" t="s">
        <v>1006</v>
      </c>
      <c r="G3041" s="685" t="s">
        <v>25</v>
      </c>
    </row>
    <row r="3042" spans="1:7" ht="19.899999999999999" customHeight="1">
      <c r="A3042" s="477" t="s">
        <v>576</v>
      </c>
      <c r="B3042" s="477" t="s">
        <v>577</v>
      </c>
      <c r="C3042" s="680"/>
      <c r="D3042" s="692"/>
      <c r="E3042" s="682"/>
      <c r="F3042" s="684"/>
      <c r="G3042" s="686"/>
    </row>
    <row r="3043" spans="1:7" ht="19.899999999999999" customHeight="1">
      <c r="A3043" s="513"/>
      <c r="B3043" s="163"/>
      <c r="C3043" s="455" t="s">
        <v>1007</v>
      </c>
      <c r="D3043" s="460"/>
      <c r="E3043" s="460"/>
      <c r="F3043" s="163"/>
      <c r="G3043" s="514"/>
    </row>
    <row r="3044" spans="1:7" ht="19.899999999999999" customHeight="1">
      <c r="A3044" s="515">
        <f t="shared" ref="A3044:A3052" si="975">IFERROR(VLOOKUP(C3044,T_Insumos,4,FALSE),0)</f>
        <v>0</v>
      </c>
      <c r="B3044" s="478">
        <f t="shared" ref="B3044:B3052" si="976">IFERROR(VLOOKUP(C3044,T_Insumos,5,FALSE),0)</f>
        <v>0</v>
      </c>
      <c r="C3044" s="469"/>
      <c r="D3044" s="479">
        <f t="shared" ref="D3044:D3052" si="977">IFERROR(VLOOKUP(C3044,T_Insumos,3,FALSE),0)</f>
        <v>0</v>
      </c>
      <c r="E3044" s="472">
        <f>D3044*$G$23</f>
        <v>0</v>
      </c>
      <c r="F3044" s="475">
        <f>IF(C3044="",0,IFERROR(VLOOKUP(COUNTIF($A$1:A3044,"ANALISIS DE PRECIOS"),T_Rendimiento_Equipo,5,FALSE),0))</f>
        <v>0</v>
      </c>
      <c r="G3044" s="472">
        <f>IFERROR(ROUND(E3044/F3044,2),0)</f>
        <v>0</v>
      </c>
    </row>
    <row r="3045" spans="1:7" ht="19.899999999999999" customHeight="1">
      <c r="A3045" s="515">
        <f t="shared" si="975"/>
        <v>0</v>
      </c>
      <c r="B3045" s="478">
        <f t="shared" si="976"/>
        <v>0</v>
      </c>
      <c r="C3045" s="469"/>
      <c r="D3045" s="479">
        <f t="shared" si="977"/>
        <v>0</v>
      </c>
      <c r="E3045" s="472">
        <f t="shared" ref="E3045:E3052" si="978">D3045*$G$23</f>
        <v>0</v>
      </c>
      <c r="F3045" s="475">
        <f>IF(C3045="",0,IFERROR(VLOOKUP(COUNTIF($A$1:A3045,"ANALISIS DE PRECIOS"),T_Rendimiento_Equipo,5,FALSE),0))</f>
        <v>0</v>
      </c>
      <c r="G3045" s="472">
        <f t="shared" ref="G3045:G3052" si="979">IFERROR(ROUND(E3045/F3045,2),0)</f>
        <v>0</v>
      </c>
    </row>
    <row r="3046" spans="1:7" ht="19.899999999999999" customHeight="1">
      <c r="A3046" s="515">
        <f t="shared" si="975"/>
        <v>0</v>
      </c>
      <c r="B3046" s="478">
        <f t="shared" si="976"/>
        <v>0</v>
      </c>
      <c r="C3046" s="480"/>
      <c r="D3046" s="479">
        <f t="shared" si="977"/>
        <v>0</v>
      </c>
      <c r="E3046" s="472">
        <f t="shared" si="978"/>
        <v>0</v>
      </c>
      <c r="F3046" s="475">
        <f>IF(C3046="",0,IFERROR(VLOOKUP(COUNTIF($A$1:A3046,"ANALISIS DE PRECIOS"),T_Rendimiento_Equipo,5,FALSE),0))</f>
        <v>0</v>
      </c>
      <c r="G3046" s="472">
        <f t="shared" si="979"/>
        <v>0</v>
      </c>
    </row>
    <row r="3047" spans="1:7" ht="19.899999999999999" customHeight="1">
      <c r="A3047" s="515">
        <f t="shared" si="975"/>
        <v>0</v>
      </c>
      <c r="B3047" s="478">
        <f t="shared" si="976"/>
        <v>0</v>
      </c>
      <c r="C3047" s="480"/>
      <c r="D3047" s="479">
        <f t="shared" si="977"/>
        <v>0</v>
      </c>
      <c r="E3047" s="472">
        <f t="shared" si="978"/>
        <v>0</v>
      </c>
      <c r="F3047" s="475">
        <f>IF(C3047="",0,IFERROR(VLOOKUP(COUNTIF($A$1:A3047,"ANALISIS DE PRECIOS"),T_Rendimiento_Equipo,5,FALSE),0))</f>
        <v>0</v>
      </c>
      <c r="G3047" s="472">
        <f t="shared" si="979"/>
        <v>0</v>
      </c>
    </row>
    <row r="3048" spans="1:7" ht="19.899999999999999" customHeight="1">
      <c r="A3048" s="515">
        <f t="shared" si="975"/>
        <v>0</v>
      </c>
      <c r="B3048" s="478">
        <f t="shared" si="976"/>
        <v>0</v>
      </c>
      <c r="C3048" s="480"/>
      <c r="D3048" s="479">
        <f t="shared" si="977"/>
        <v>0</v>
      </c>
      <c r="E3048" s="472">
        <f t="shared" si="978"/>
        <v>0</v>
      </c>
      <c r="F3048" s="475">
        <f>IF(C3048="",0,IFERROR(VLOOKUP(COUNTIF($A$1:A3048,"ANALISIS DE PRECIOS"),T_Rendimiento_Equipo,5,FALSE),0))</f>
        <v>0</v>
      </c>
      <c r="G3048" s="472">
        <f t="shared" si="979"/>
        <v>0</v>
      </c>
    </row>
    <row r="3049" spans="1:7" ht="19.899999999999999" customHeight="1">
      <c r="A3049" s="515">
        <f t="shared" si="975"/>
        <v>0</v>
      </c>
      <c r="B3049" s="478">
        <f t="shared" si="976"/>
        <v>0</v>
      </c>
      <c r="C3049" s="480"/>
      <c r="D3049" s="479">
        <f t="shared" si="977"/>
        <v>0</v>
      </c>
      <c r="E3049" s="472">
        <f t="shared" si="978"/>
        <v>0</v>
      </c>
      <c r="F3049" s="475">
        <f>IF(C3049="",0,IFERROR(VLOOKUP(COUNTIF($A$1:A3049,"ANALISIS DE PRECIOS"),T_Rendimiento_Equipo,5,FALSE),0))</f>
        <v>0</v>
      </c>
      <c r="G3049" s="472">
        <f t="shared" si="979"/>
        <v>0</v>
      </c>
    </row>
    <row r="3050" spans="1:7" ht="19.899999999999999" customHeight="1">
      <c r="A3050" s="515">
        <f t="shared" si="975"/>
        <v>0</v>
      </c>
      <c r="B3050" s="478">
        <f t="shared" si="976"/>
        <v>0</v>
      </c>
      <c r="C3050" s="480"/>
      <c r="D3050" s="479">
        <f t="shared" si="977"/>
        <v>0</v>
      </c>
      <c r="E3050" s="472">
        <f t="shared" si="978"/>
        <v>0</v>
      </c>
      <c r="F3050" s="475">
        <f>IF(C3050="",0,IFERROR(VLOOKUP(COUNTIF($A$1:A3050,"ANALISIS DE PRECIOS"),T_Rendimiento_Equipo,5,FALSE),0))</f>
        <v>0</v>
      </c>
      <c r="G3050" s="472">
        <f t="shared" si="979"/>
        <v>0</v>
      </c>
    </row>
    <row r="3051" spans="1:7" ht="19.899999999999999" customHeight="1">
      <c r="A3051" s="515">
        <f t="shared" si="975"/>
        <v>0</v>
      </c>
      <c r="B3051" s="478">
        <f t="shared" si="976"/>
        <v>0</v>
      </c>
      <c r="C3051" s="480"/>
      <c r="D3051" s="479">
        <f t="shared" si="977"/>
        <v>0</v>
      </c>
      <c r="E3051" s="472">
        <f t="shared" si="978"/>
        <v>0</v>
      </c>
      <c r="F3051" s="475">
        <f>IF(C3051="",0,IFERROR(VLOOKUP(COUNTIF($A$1:A3051,"ANALISIS DE PRECIOS"),T_Rendimiento_Equipo,5,FALSE),0))</f>
        <v>0</v>
      </c>
      <c r="G3051" s="472">
        <f t="shared" si="979"/>
        <v>0</v>
      </c>
    </row>
    <row r="3052" spans="1:7" ht="19.899999999999999" customHeight="1">
      <c r="A3052" s="515">
        <f t="shared" si="975"/>
        <v>0</v>
      </c>
      <c r="B3052" s="478">
        <f t="shared" si="976"/>
        <v>0</v>
      </c>
      <c r="C3052" s="469"/>
      <c r="D3052" s="479">
        <f t="shared" si="977"/>
        <v>0</v>
      </c>
      <c r="E3052" s="472">
        <f t="shared" si="978"/>
        <v>0</v>
      </c>
      <c r="F3052" s="475">
        <f>IF(C3052="",0,IFERROR(VLOOKUP(COUNTIF($A$1:A3052,"ANALISIS DE PRECIOS"),T_Rendimiento_Equipo,5,FALSE),0))</f>
        <v>0</v>
      </c>
      <c r="G3052" s="472">
        <f t="shared" si="979"/>
        <v>0</v>
      </c>
    </row>
    <row r="3053" spans="1:7" ht="19.899999999999999" customHeight="1">
      <c r="A3053" s="516"/>
      <c r="B3053" s="459"/>
      <c r="C3053" s="163"/>
      <c r="D3053" s="459"/>
      <c r="E3053" s="460"/>
      <c r="F3053" s="650" t="s">
        <v>26</v>
      </c>
      <c r="G3053" s="517">
        <f>SUBTOTAL(9,G3044:G3052)</f>
        <v>0</v>
      </c>
    </row>
    <row r="3054" spans="1:7" ht="19.899999999999999" customHeight="1">
      <c r="A3054" s="513"/>
      <c r="B3054" s="163"/>
      <c r="C3054" s="455" t="s">
        <v>712</v>
      </c>
      <c r="D3054" s="459"/>
      <c r="E3054" s="460"/>
      <c r="F3054" s="461"/>
      <c r="G3054" s="514"/>
    </row>
    <row r="3055" spans="1:7" ht="19.899999999999999" customHeight="1">
      <c r="A3055" s="677" t="s">
        <v>575</v>
      </c>
      <c r="B3055" s="678"/>
      <c r="C3055" s="679" t="s">
        <v>0</v>
      </c>
      <c r="D3055" s="681" t="s">
        <v>23</v>
      </c>
      <c r="E3055" s="681" t="s">
        <v>1830</v>
      </c>
      <c r="F3055" s="683" t="s">
        <v>1006</v>
      </c>
      <c r="G3055" s="685" t="s">
        <v>25</v>
      </c>
    </row>
    <row r="3056" spans="1:7" ht="19.899999999999999" customHeight="1">
      <c r="A3056" s="477" t="s">
        <v>576</v>
      </c>
      <c r="B3056" s="477" t="s">
        <v>577</v>
      </c>
      <c r="C3056" s="680"/>
      <c r="D3056" s="682"/>
      <c r="E3056" s="682"/>
      <c r="F3056" s="684"/>
      <c r="G3056" s="686"/>
    </row>
    <row r="3057" spans="1:7" ht="19.899999999999999" customHeight="1">
      <c r="A3057" s="515">
        <f t="shared" ref="A3057:A3063" si="980">IFERROR(VLOOKUP(C3057,T_Insumos,4,FALSE),0)</f>
        <v>0</v>
      </c>
      <c r="B3057" s="478">
        <f t="shared" ref="B3057:B3063" si="981">IFERROR(VLOOKUP(C3057,T_Insumos,5,FALSE),0)</f>
        <v>0</v>
      </c>
      <c r="C3057" s="482"/>
      <c r="D3057" s="475"/>
      <c r="E3057" s="472">
        <f t="shared" ref="E3057:E3063" si="982">IFERROR(VLOOKUP(C3057,T_Insumos,3,FALSE),0)</f>
        <v>0</v>
      </c>
      <c r="F3057" s="475">
        <f>IF(C3057="",0,IFERROR(VLOOKUP(COUNTIF($A$1:A3057,"ANALISIS DE PRECIOS"),T_Rendimiento_Equipo,5,FALSE),0))</f>
        <v>0</v>
      </c>
      <c r="G3057" s="472">
        <f>IFERROR(ROUND(D3057*E3057/F3057,2),0)</f>
        <v>0</v>
      </c>
    </row>
    <row r="3058" spans="1:7" ht="19.899999999999999" customHeight="1">
      <c r="A3058" s="515">
        <f t="shared" si="980"/>
        <v>0</v>
      </c>
      <c r="B3058" s="478">
        <f t="shared" si="981"/>
        <v>0</v>
      </c>
      <c r="C3058" s="469"/>
      <c r="D3058" s="475"/>
      <c r="E3058" s="472">
        <f t="shared" si="982"/>
        <v>0</v>
      </c>
      <c r="F3058" s="475">
        <f>IF(C3058="",0,IFERROR(VLOOKUP(COUNTIF($A$1:A3058,"ANALISIS DE PRECIOS"),T_Rendimiento_Equipo,5,FALSE),0))</f>
        <v>0</v>
      </c>
      <c r="G3058" s="472">
        <f t="shared" ref="G3058:G3063" si="983">IFERROR(ROUND(D3058*E3058/F3058,2),0)</f>
        <v>0</v>
      </c>
    </row>
    <row r="3059" spans="1:7" ht="19.899999999999999" customHeight="1">
      <c r="A3059" s="515">
        <f t="shared" si="980"/>
        <v>0</v>
      </c>
      <c r="B3059" s="478">
        <f t="shared" si="981"/>
        <v>0</v>
      </c>
      <c r="C3059" s="469"/>
      <c r="D3059" s="475"/>
      <c r="E3059" s="472">
        <f t="shared" si="982"/>
        <v>0</v>
      </c>
      <c r="F3059" s="475">
        <f>IF(C3059="",0,IFERROR(VLOOKUP(COUNTIF($A$1:A3059,"ANALISIS DE PRECIOS"),T_Rendimiento_Equipo,5,FALSE),0))</f>
        <v>0</v>
      </c>
      <c r="G3059" s="472">
        <f t="shared" si="983"/>
        <v>0</v>
      </c>
    </row>
    <row r="3060" spans="1:7" ht="19.899999999999999" customHeight="1">
      <c r="A3060" s="515">
        <f t="shared" si="980"/>
        <v>0</v>
      </c>
      <c r="B3060" s="478">
        <f t="shared" si="981"/>
        <v>0</v>
      </c>
      <c r="C3060" s="469"/>
      <c r="D3060" s="475"/>
      <c r="E3060" s="472">
        <f t="shared" si="982"/>
        <v>0</v>
      </c>
      <c r="F3060" s="475">
        <f>IF(C3060="",0,IFERROR(VLOOKUP(COUNTIF($A$1:A3060,"ANALISIS DE PRECIOS"),T_Rendimiento_Equipo,5,FALSE),0))</f>
        <v>0</v>
      </c>
      <c r="G3060" s="472">
        <f t="shared" si="983"/>
        <v>0</v>
      </c>
    </row>
    <row r="3061" spans="1:7" ht="19.899999999999999" customHeight="1">
      <c r="A3061" s="515">
        <f t="shared" si="980"/>
        <v>0</v>
      </c>
      <c r="B3061" s="478">
        <f t="shared" si="981"/>
        <v>0</v>
      </c>
      <c r="C3061" s="469"/>
      <c r="D3061" s="475"/>
      <c r="E3061" s="472">
        <f t="shared" si="982"/>
        <v>0</v>
      </c>
      <c r="F3061" s="475">
        <f>IF(C3061="",0,IFERROR(VLOOKUP(COUNTIF($A$1:A3061,"ANALISIS DE PRECIOS"),T_Rendimiento_Equipo,5,FALSE),0))</f>
        <v>0</v>
      </c>
      <c r="G3061" s="472">
        <f t="shared" si="983"/>
        <v>0</v>
      </c>
    </row>
    <row r="3062" spans="1:7" ht="19.899999999999999" customHeight="1">
      <c r="A3062" s="515">
        <f t="shared" si="980"/>
        <v>0</v>
      </c>
      <c r="B3062" s="478">
        <f t="shared" si="981"/>
        <v>0</v>
      </c>
      <c r="C3062" s="469"/>
      <c r="D3062" s="483"/>
      <c r="E3062" s="472">
        <f t="shared" si="982"/>
        <v>0</v>
      </c>
      <c r="F3062" s="475">
        <f>IF(C3062="",0,IFERROR(VLOOKUP(COUNTIF($A$1:A3062,"ANALISIS DE PRECIOS"),T_Rendimiento_Equipo,5,FALSE),0))</f>
        <v>0</v>
      </c>
      <c r="G3062" s="472">
        <f t="shared" si="983"/>
        <v>0</v>
      </c>
    </row>
    <row r="3063" spans="1:7" ht="19.899999999999999" customHeight="1">
      <c r="A3063" s="515">
        <f t="shared" si="980"/>
        <v>0</v>
      </c>
      <c r="B3063" s="478">
        <f t="shared" si="981"/>
        <v>0</v>
      </c>
      <c r="C3063" s="478"/>
      <c r="D3063" s="484"/>
      <c r="E3063" s="472">
        <f t="shared" si="982"/>
        <v>0</v>
      </c>
      <c r="F3063" s="475">
        <f>IF(C3063="",0,IFERROR(VLOOKUP(COUNTIF($A$1:A3063,"ANALISIS DE PRECIOS"),T_Rendimiento_Equipo,5,FALSE),0))</f>
        <v>0</v>
      </c>
      <c r="G3063" s="472">
        <f t="shared" si="983"/>
        <v>0</v>
      </c>
    </row>
    <row r="3064" spans="1:7" ht="19.899999999999999" customHeight="1">
      <c r="A3064" s="516"/>
      <c r="B3064" s="459"/>
      <c r="C3064" s="163"/>
      <c r="D3064" s="459"/>
      <c r="E3064" s="460"/>
      <c r="F3064" s="650" t="s">
        <v>27</v>
      </c>
      <c r="G3064" s="518">
        <f>SUBTOTAL(9,G3057:G3063)</f>
        <v>0</v>
      </c>
    </row>
    <row r="3065" spans="1:7" ht="19.899999999999999" customHeight="1">
      <c r="A3065" s="513"/>
      <c r="B3065" s="163"/>
      <c r="C3065" s="455" t="s">
        <v>1013</v>
      </c>
      <c r="D3065" s="459"/>
      <c r="E3065" s="460"/>
      <c r="F3065" s="461"/>
      <c r="G3065" s="514"/>
    </row>
    <row r="3066" spans="1:7" ht="19.899999999999999" customHeight="1">
      <c r="A3066" s="677" t="s">
        <v>575</v>
      </c>
      <c r="B3066" s="678"/>
      <c r="C3066" s="679" t="s">
        <v>0</v>
      </c>
      <c r="D3066" s="679" t="s">
        <v>1865</v>
      </c>
      <c r="E3066" s="681" t="s">
        <v>23</v>
      </c>
      <c r="F3066" s="683" t="s">
        <v>24</v>
      </c>
      <c r="G3066" s="685" t="s">
        <v>25</v>
      </c>
    </row>
    <row r="3067" spans="1:7" ht="19.899999999999999" customHeight="1">
      <c r="A3067" s="477" t="s">
        <v>576</v>
      </c>
      <c r="B3067" s="477" t="s">
        <v>577</v>
      </c>
      <c r="C3067" s="680"/>
      <c r="D3067" s="680"/>
      <c r="E3067" s="682"/>
      <c r="F3067" s="684"/>
      <c r="G3067" s="686"/>
    </row>
    <row r="3068" spans="1:7" ht="19.899999999999999" customHeight="1">
      <c r="A3068" s="515">
        <f t="shared" ref="A3068:A3078" si="984">IFERROR(VLOOKUP(C3068,T_Insumos,4,FALSE),0)</f>
        <v>0</v>
      </c>
      <c r="B3068" s="478">
        <f t="shared" ref="B3068:B3078" si="985">IFERROR(VLOOKUP(C3068,T_Insumos,5,FALSE),0)</f>
        <v>0</v>
      </c>
      <c r="C3068" s="478"/>
      <c r="D3068" s="526">
        <f t="shared" ref="D3068:D3078" si="986">IFERROR(VLOOKUP(C3068,T_Insumos,2,FALSE),0)</f>
        <v>0</v>
      </c>
      <c r="E3068" s="470"/>
      <c r="F3068" s="472">
        <f t="shared" ref="F3068:F3078" si="987">IFERROR(VLOOKUP(C3068,T_Insumos,3,FALSE),0)</f>
        <v>0</v>
      </c>
      <c r="G3068" s="472">
        <f>ROUND(E3068*F3068,2)</f>
        <v>0</v>
      </c>
    </row>
    <row r="3069" spans="1:7" ht="19.899999999999999" customHeight="1">
      <c r="A3069" s="515">
        <f t="shared" si="984"/>
        <v>0</v>
      </c>
      <c r="B3069" s="478">
        <f t="shared" si="985"/>
        <v>0</v>
      </c>
      <c r="C3069" s="478"/>
      <c r="D3069" s="526">
        <f t="shared" si="986"/>
        <v>0</v>
      </c>
      <c r="E3069" s="470"/>
      <c r="F3069" s="472">
        <f t="shared" si="987"/>
        <v>0</v>
      </c>
      <c r="G3069" s="472">
        <f t="shared" ref="G3069:G3078" si="988">ROUND(E3069*F3069,2)</f>
        <v>0</v>
      </c>
    </row>
    <row r="3070" spans="1:7" ht="19.899999999999999" customHeight="1">
      <c r="A3070" s="515">
        <f t="shared" si="984"/>
        <v>0</v>
      </c>
      <c r="B3070" s="478">
        <f t="shared" si="985"/>
        <v>0</v>
      </c>
      <c r="C3070" s="478"/>
      <c r="D3070" s="526">
        <f t="shared" si="986"/>
        <v>0</v>
      </c>
      <c r="E3070" s="470"/>
      <c r="F3070" s="472">
        <f t="shared" si="987"/>
        <v>0</v>
      </c>
      <c r="G3070" s="472">
        <f t="shared" si="988"/>
        <v>0</v>
      </c>
    </row>
    <row r="3071" spans="1:7" ht="19.899999999999999" customHeight="1">
      <c r="A3071" s="515">
        <f t="shared" si="984"/>
        <v>0</v>
      </c>
      <c r="B3071" s="478">
        <f t="shared" si="985"/>
        <v>0</v>
      </c>
      <c r="C3071" s="478"/>
      <c r="D3071" s="526">
        <f t="shared" si="986"/>
        <v>0</v>
      </c>
      <c r="E3071" s="470"/>
      <c r="F3071" s="472">
        <f t="shared" si="987"/>
        <v>0</v>
      </c>
      <c r="G3071" s="472">
        <f t="shared" si="988"/>
        <v>0</v>
      </c>
    </row>
    <row r="3072" spans="1:7" ht="19.899999999999999" customHeight="1">
      <c r="A3072" s="515">
        <f t="shared" si="984"/>
        <v>0</v>
      </c>
      <c r="B3072" s="478">
        <f t="shared" si="985"/>
        <v>0</v>
      </c>
      <c r="C3072" s="478"/>
      <c r="D3072" s="526">
        <f t="shared" si="986"/>
        <v>0</v>
      </c>
      <c r="E3072" s="470"/>
      <c r="F3072" s="472">
        <f t="shared" si="987"/>
        <v>0</v>
      </c>
      <c r="G3072" s="472">
        <f t="shared" si="988"/>
        <v>0</v>
      </c>
    </row>
    <row r="3073" spans="1:7" ht="19.899999999999999" customHeight="1">
      <c r="A3073" s="515">
        <f t="shared" si="984"/>
        <v>0</v>
      </c>
      <c r="B3073" s="478">
        <f t="shared" si="985"/>
        <v>0</v>
      </c>
      <c r="C3073" s="478"/>
      <c r="D3073" s="526">
        <f t="shared" si="986"/>
        <v>0</v>
      </c>
      <c r="E3073" s="470"/>
      <c r="F3073" s="472">
        <f t="shared" si="987"/>
        <v>0</v>
      </c>
      <c r="G3073" s="472">
        <f t="shared" si="988"/>
        <v>0</v>
      </c>
    </row>
    <row r="3074" spans="1:7" ht="19.899999999999999" customHeight="1">
      <c r="A3074" s="515">
        <f t="shared" si="984"/>
        <v>0</v>
      </c>
      <c r="B3074" s="478">
        <f t="shared" si="985"/>
        <v>0</v>
      </c>
      <c r="C3074" s="478"/>
      <c r="D3074" s="526">
        <f t="shared" si="986"/>
        <v>0</v>
      </c>
      <c r="E3074" s="470"/>
      <c r="F3074" s="472">
        <f t="shared" si="987"/>
        <v>0</v>
      </c>
      <c r="G3074" s="472">
        <f t="shared" si="988"/>
        <v>0</v>
      </c>
    </row>
    <row r="3075" spans="1:7" ht="19.899999999999999" customHeight="1">
      <c r="A3075" s="515">
        <f t="shared" si="984"/>
        <v>0</v>
      </c>
      <c r="B3075" s="478">
        <f t="shared" si="985"/>
        <v>0</v>
      </c>
      <c r="C3075" s="478"/>
      <c r="D3075" s="526">
        <f t="shared" si="986"/>
        <v>0</v>
      </c>
      <c r="E3075" s="470"/>
      <c r="F3075" s="472">
        <f t="shared" si="987"/>
        <v>0</v>
      </c>
      <c r="G3075" s="472">
        <f t="shared" si="988"/>
        <v>0</v>
      </c>
    </row>
    <row r="3076" spans="1:7" ht="19.899999999999999" customHeight="1">
      <c r="A3076" s="515">
        <f t="shared" si="984"/>
        <v>0</v>
      </c>
      <c r="B3076" s="478">
        <f t="shared" si="985"/>
        <v>0</v>
      </c>
      <c r="C3076" s="478"/>
      <c r="D3076" s="526">
        <f t="shared" si="986"/>
        <v>0</v>
      </c>
      <c r="E3076" s="470"/>
      <c r="F3076" s="472">
        <f t="shared" si="987"/>
        <v>0</v>
      </c>
      <c r="G3076" s="472">
        <f t="shared" si="988"/>
        <v>0</v>
      </c>
    </row>
    <row r="3077" spans="1:7" ht="19.899999999999999" customHeight="1">
      <c r="A3077" s="515">
        <f t="shared" si="984"/>
        <v>0</v>
      </c>
      <c r="B3077" s="478">
        <f t="shared" si="985"/>
        <v>0</v>
      </c>
      <c r="C3077" s="478"/>
      <c r="D3077" s="526">
        <f t="shared" si="986"/>
        <v>0</v>
      </c>
      <c r="E3077" s="470"/>
      <c r="F3077" s="472">
        <f t="shared" si="987"/>
        <v>0</v>
      </c>
      <c r="G3077" s="472">
        <f t="shared" si="988"/>
        <v>0</v>
      </c>
    </row>
    <row r="3078" spans="1:7" ht="19.899999999999999" customHeight="1">
      <c r="A3078" s="515">
        <f t="shared" si="984"/>
        <v>0</v>
      </c>
      <c r="B3078" s="478">
        <f t="shared" si="985"/>
        <v>0</v>
      </c>
      <c r="C3078" s="478"/>
      <c r="D3078" s="526">
        <f t="shared" si="986"/>
        <v>0</v>
      </c>
      <c r="E3078" s="470"/>
      <c r="F3078" s="472">
        <f t="shared" si="987"/>
        <v>0</v>
      </c>
      <c r="G3078" s="472">
        <f t="shared" si="988"/>
        <v>0</v>
      </c>
    </row>
    <row r="3079" spans="1:7" ht="19.899999999999999" customHeight="1">
      <c r="A3079" s="513"/>
      <c r="B3079" s="163"/>
      <c r="C3079" s="163"/>
      <c r="D3079" s="459"/>
      <c r="E3079" s="460"/>
      <c r="F3079" s="650" t="s">
        <v>28</v>
      </c>
      <c r="G3079" s="518">
        <f>SUBTOTAL(9,G3068:G3078)</f>
        <v>0</v>
      </c>
    </row>
    <row r="3080" spans="1:7" ht="19.899999999999999" customHeight="1">
      <c r="A3080" s="513"/>
      <c r="B3080" s="163"/>
      <c r="C3080" s="455" t="s">
        <v>1014</v>
      </c>
      <c r="D3080" s="459"/>
      <c r="E3080" s="460"/>
      <c r="F3080" s="461"/>
      <c r="G3080" s="514"/>
    </row>
    <row r="3081" spans="1:7" ht="19.899999999999999" customHeight="1">
      <c r="A3081" s="677" t="s">
        <v>575</v>
      </c>
      <c r="B3081" s="678"/>
      <c r="C3081" s="679" t="s">
        <v>0</v>
      </c>
      <c r="D3081" s="679" t="s">
        <v>1865</v>
      </c>
      <c r="E3081" s="681" t="s">
        <v>23</v>
      </c>
      <c r="F3081" s="683" t="s">
        <v>24</v>
      </c>
      <c r="G3081" s="685" t="s">
        <v>25</v>
      </c>
    </row>
    <row r="3082" spans="1:7" ht="19.899999999999999" customHeight="1">
      <c r="A3082" s="477" t="s">
        <v>576</v>
      </c>
      <c r="B3082" s="477" t="s">
        <v>577</v>
      </c>
      <c r="C3082" s="680"/>
      <c r="D3082" s="680"/>
      <c r="E3082" s="682"/>
      <c r="F3082" s="684"/>
      <c r="G3082" s="686"/>
    </row>
    <row r="3083" spans="1:7" ht="19.899999999999999" customHeight="1">
      <c r="A3083" s="515">
        <f>IFERROR(VLOOKUP(C3083,T_Insumos,4,FALSE),0)</f>
        <v>0</v>
      </c>
      <c r="B3083" s="478">
        <f>IFERROR(VLOOKUP(C3083,T_Insumos,5,FALSE),0)</f>
        <v>0</v>
      </c>
      <c r="C3083" s="469"/>
      <c r="D3083" s="526">
        <f>IF(C3083=0,0,"$/tnkm")</f>
        <v>0</v>
      </c>
      <c r="E3083" s="470"/>
      <c r="F3083" s="472">
        <f>IFERROR(VLOOKUP(C3083,T_Insumos,3,FALSE),0)</f>
        <v>0</v>
      </c>
      <c r="G3083" s="472">
        <f>ROUND(E3083*F3083,2)</f>
        <v>0</v>
      </c>
    </row>
    <row r="3084" spans="1:7" ht="19.899999999999999" customHeight="1">
      <c r="A3084" s="515">
        <f>IFERROR(VLOOKUP(C3084,T_Insumos,4,FALSE),0)</f>
        <v>0</v>
      </c>
      <c r="B3084" s="478">
        <f>IFERROR(VLOOKUP(C3084,T_Insumos,5,FALSE),0)</f>
        <v>0</v>
      </c>
      <c r="C3084" s="469"/>
      <c r="D3084" s="526">
        <f>IF(C3084=0,0,"$/tnkm")</f>
        <v>0</v>
      </c>
      <c r="E3084" s="486"/>
      <c r="F3084" s="472">
        <f>IFERROR(VLOOKUP(C3084,T_Insumos,3,FALSE),0)</f>
        <v>0</v>
      </c>
      <c r="G3084" s="472">
        <f t="shared" ref="G3084" si="989">ROUND(E3084*F3084,2)</f>
        <v>0</v>
      </c>
    </row>
    <row r="3085" spans="1:7" ht="19.899999999999999" customHeight="1">
      <c r="A3085" s="513"/>
      <c r="B3085" s="163"/>
      <c r="C3085" s="163"/>
      <c r="D3085" s="459"/>
      <c r="E3085" s="460"/>
      <c r="F3085" s="650" t="s">
        <v>1015</v>
      </c>
      <c r="G3085" s="518">
        <f>SUBTOTAL(9,G3083:G3084)</f>
        <v>0</v>
      </c>
    </row>
    <row r="3086" spans="1:7" ht="19.899999999999999" customHeight="1">
      <c r="A3086" s="516"/>
      <c r="B3086" s="459"/>
      <c r="C3086" s="163"/>
      <c r="D3086" s="459"/>
      <c r="E3086" s="460"/>
      <c r="F3086" s="461"/>
      <c r="G3086" s="514"/>
    </row>
    <row r="3087" spans="1:7" ht="19.899999999999999" customHeight="1">
      <c r="A3087" s="574" t="str">
        <f>B3021</f>
        <v>6.2.2</v>
      </c>
      <c r="B3087" s="571" t="str">
        <f ca="1">C3021</f>
        <v>Excavación</v>
      </c>
      <c r="C3087" s="459"/>
      <c r="D3087" s="459" t="s">
        <v>1831</v>
      </c>
      <c r="E3087" s="572"/>
      <c r="F3087" s="573" t="str">
        <f ca="1">"$/"&amp;G3021</f>
        <v>$/m3</v>
      </c>
      <c r="G3087" s="523">
        <f>SUBTOTAL(9,G3044:G3086)</f>
        <v>0</v>
      </c>
    </row>
    <row r="3088" spans="1:7" ht="19.899999999999999" customHeight="1">
      <c r="A3088" s="519"/>
      <c r="B3088" s="520"/>
      <c r="C3088" s="521"/>
      <c r="D3088" s="521" t="s">
        <v>2041</v>
      </c>
      <c r="E3088" s="522"/>
      <c r="F3088" s="575" t="str">
        <f ca="1">"$/"&amp;G3021</f>
        <v>$/m3</v>
      </c>
      <c r="G3088" s="523">
        <f>ROUND(G3087*Coeficiente_Paso,2)</f>
        <v>0</v>
      </c>
    </row>
    <row r="3089" spans="1:7" ht="19.899999999999999" customHeight="1">
      <c r="A3089" s="163"/>
      <c r="B3089" s="163"/>
      <c r="C3089" s="163"/>
      <c r="D3089" s="163"/>
      <c r="E3089" s="163"/>
      <c r="F3089" s="163"/>
      <c r="G3089" s="163"/>
    </row>
    <row r="3090" spans="1:7" ht="19.899999999999999" customHeight="1">
      <c r="A3090" s="687" t="s">
        <v>30</v>
      </c>
      <c r="B3090" s="688"/>
      <c r="C3090" s="688"/>
      <c r="D3090" s="688"/>
      <c r="E3090" s="688"/>
      <c r="F3090" s="688"/>
      <c r="G3090" s="689"/>
    </row>
    <row r="3091" spans="1:7" ht="19.899999999999999" customHeight="1">
      <c r="A3091" s="502" t="s">
        <v>710</v>
      </c>
      <c r="B3091" s="453" t="str">
        <f>Comitente</f>
        <v>DEPARTAMENTO DE HIDRAULICA</v>
      </c>
      <c r="C3091" s="454"/>
      <c r="D3091" s="455"/>
      <c r="E3091" s="455"/>
      <c r="F3091" s="456"/>
      <c r="G3091" s="503"/>
    </row>
    <row r="3092" spans="1:7" ht="19.899999999999999" customHeight="1">
      <c r="A3092" s="502" t="s">
        <v>711</v>
      </c>
      <c r="B3092" s="453">
        <f>Contratista</f>
        <v>0</v>
      </c>
      <c r="C3092" s="457"/>
      <c r="D3092" s="457"/>
      <c r="E3092" s="457"/>
      <c r="F3092" s="453"/>
      <c r="G3092" s="504"/>
    </row>
    <row r="3093" spans="1:7" ht="19.899999999999999" customHeight="1">
      <c r="A3093" s="502" t="s">
        <v>20</v>
      </c>
      <c r="B3093" s="453" t="str">
        <f>Obra</f>
        <v>MEJORA DE LA RED DE RIEGO DEL VALLE DE JÁCHAL</v>
      </c>
      <c r="C3093" s="457"/>
      <c r="D3093" s="457"/>
      <c r="E3093" s="457"/>
      <c r="F3093" s="453" t="s">
        <v>31</v>
      </c>
      <c r="G3093" s="504" t="str">
        <f>Fecha_Base</f>
        <v>XX/07/2020</v>
      </c>
    </row>
    <row r="3094" spans="1:7" ht="19.899999999999999" customHeight="1">
      <c r="A3094" s="505" t="s">
        <v>709</v>
      </c>
      <c r="B3094" s="458" t="str">
        <f>Ubicación</f>
        <v>JACHAL</v>
      </c>
      <c r="C3094" s="458"/>
      <c r="D3094" s="459"/>
      <c r="E3094" s="460"/>
      <c r="F3094" s="461"/>
      <c r="G3094" s="506"/>
    </row>
    <row r="3095" spans="1:7" ht="19.899999999999999" customHeight="1">
      <c r="A3095" s="505" t="s">
        <v>32</v>
      </c>
      <c r="B3095" s="462">
        <f>IFERROR(VALUE(LEFT(B3096,FIND(".",B3096)-1)),"")</f>
        <v>6</v>
      </c>
      <c r="C3095" s="163" t="str">
        <f ca="1">IFERROR(VLOOKUP(B3095,T_Computo_Presupuesto,2,FALSE),0)</f>
        <v>CANAL DEL NORTE</v>
      </c>
      <c r="D3095" s="163"/>
      <c r="E3095" s="460"/>
      <c r="F3095" s="461"/>
      <c r="G3095" s="506"/>
    </row>
    <row r="3096" spans="1:7" ht="19.899999999999999" customHeight="1">
      <c r="A3096" s="505" t="s">
        <v>21</v>
      </c>
      <c r="B3096" s="463" t="str">
        <f>IFERROR(VLOOKUP(COUNTIF($A$1:A3096,"ANALISIS DE PRECIOS"),T_NumeroItem,2,FALSE),"")</f>
        <v>6.2.3</v>
      </c>
      <c r="C3096" s="690" t="str">
        <f ca="1">IFERROR(VLOOKUP(B3096,T_Computo_Presupuesto,2,FALSE),0)</f>
        <v>Demoliciones</v>
      </c>
      <c r="D3096" s="690"/>
      <c r="E3096" s="690"/>
      <c r="F3096" s="458" t="s">
        <v>22</v>
      </c>
      <c r="G3096" s="507" t="str">
        <f ca="1">IFERROR(VLOOKUP(B3096,T_Computo_Presupuesto,4,FALSE),0)</f>
        <v>m3</v>
      </c>
    </row>
    <row r="3097" spans="1:7" ht="19.899999999999999" customHeight="1">
      <c r="A3097" s="505"/>
      <c r="B3097" s="458"/>
      <c r="C3097" s="163"/>
      <c r="D3097" s="459"/>
      <c r="E3097" s="460"/>
      <c r="F3097" s="163"/>
      <c r="G3097" s="508"/>
    </row>
    <row r="3098" spans="1:7" ht="19.899999999999999" customHeight="1">
      <c r="A3098" s="509"/>
      <c r="B3098" s="464"/>
      <c r="C3098" s="465" t="s">
        <v>998</v>
      </c>
      <c r="D3098" s="464"/>
      <c r="E3098" s="464"/>
      <c r="F3098" s="464"/>
      <c r="G3098" s="510"/>
    </row>
    <row r="3099" spans="1:7" ht="19.899999999999999" customHeight="1">
      <c r="A3099" s="505"/>
      <c r="B3099" s="466"/>
      <c r="C3099" s="163"/>
      <c r="D3099" s="459"/>
      <c r="E3099" s="460"/>
      <c r="F3099" s="458"/>
      <c r="G3099" s="507"/>
    </row>
    <row r="3100" spans="1:7" ht="19.899999999999999" customHeight="1">
      <c r="A3100" s="505"/>
      <c r="B3100" s="466"/>
      <c r="C3100" s="467" t="s">
        <v>999</v>
      </c>
      <c r="D3100" s="468" t="s">
        <v>23</v>
      </c>
      <c r="E3100" s="468" t="s">
        <v>1000</v>
      </c>
      <c r="F3100" s="468" t="s">
        <v>1001</v>
      </c>
      <c r="G3100" s="467" t="s">
        <v>1002</v>
      </c>
    </row>
    <row r="3101" spans="1:7" ht="19.899999999999999" customHeight="1">
      <c r="A3101" s="505"/>
      <c r="B3101" s="466"/>
      <c r="C3101" s="469"/>
      <c r="D3101" s="470"/>
      <c r="E3101" s="471">
        <f t="shared" ref="E3101:E3110" si="990">IFERROR(VLOOKUP(C3101,T_Equipos,4,FALSE),0)</f>
        <v>0</v>
      </c>
      <c r="F3101" s="472">
        <f t="shared" ref="F3101:F3110" si="991">IFERROR(VLOOKUP(C3101,T_Equipos,5,FALSE),0)</f>
        <v>0</v>
      </c>
      <c r="G3101" s="472">
        <f>ROUND(D3101*F3101,2)</f>
        <v>0</v>
      </c>
    </row>
    <row r="3102" spans="1:7" ht="19.899999999999999" customHeight="1">
      <c r="A3102" s="505"/>
      <c r="B3102" s="466"/>
      <c r="C3102" s="469"/>
      <c r="D3102" s="470"/>
      <c r="E3102" s="471">
        <f t="shared" si="990"/>
        <v>0</v>
      </c>
      <c r="F3102" s="472">
        <f t="shared" si="991"/>
        <v>0</v>
      </c>
      <c r="G3102" s="472">
        <f>ROUND(D3102*F3102,2)</f>
        <v>0</v>
      </c>
    </row>
    <row r="3103" spans="1:7" ht="19.899999999999999" customHeight="1">
      <c r="A3103" s="505"/>
      <c r="B3103" s="466"/>
      <c r="C3103" s="469"/>
      <c r="D3103" s="470"/>
      <c r="E3103" s="471">
        <f t="shared" si="990"/>
        <v>0</v>
      </c>
      <c r="F3103" s="472">
        <f t="shared" si="991"/>
        <v>0</v>
      </c>
      <c r="G3103" s="472">
        <f>ROUND(D3103*F3103,2)</f>
        <v>0</v>
      </c>
    </row>
    <row r="3104" spans="1:7" ht="19.899999999999999" customHeight="1">
      <c r="A3104" s="505"/>
      <c r="B3104" s="466"/>
      <c r="C3104" s="469"/>
      <c r="D3104" s="470"/>
      <c r="E3104" s="471">
        <f t="shared" si="990"/>
        <v>0</v>
      </c>
      <c r="F3104" s="472">
        <f t="shared" si="991"/>
        <v>0</v>
      </c>
      <c r="G3104" s="472">
        <f>ROUND(D3104*F3104,2)</f>
        <v>0</v>
      </c>
    </row>
    <row r="3105" spans="1:7" ht="19.899999999999999" customHeight="1">
      <c r="A3105" s="505"/>
      <c r="B3105" s="466"/>
      <c r="C3105" s="469"/>
      <c r="D3105" s="470"/>
      <c r="E3105" s="471">
        <f t="shared" si="990"/>
        <v>0</v>
      </c>
      <c r="F3105" s="472">
        <f t="shared" si="991"/>
        <v>0</v>
      </c>
      <c r="G3105" s="472">
        <f t="shared" ref="G3105:G3110" si="992">ROUND(D3105*F3105,2)</f>
        <v>0</v>
      </c>
    </row>
    <row r="3106" spans="1:7" ht="19.899999999999999" customHeight="1">
      <c r="A3106" s="505"/>
      <c r="B3106" s="466"/>
      <c r="C3106" s="469"/>
      <c r="D3106" s="470"/>
      <c r="E3106" s="471">
        <f t="shared" si="990"/>
        <v>0</v>
      </c>
      <c r="F3106" s="472">
        <f t="shared" si="991"/>
        <v>0</v>
      </c>
      <c r="G3106" s="472">
        <f t="shared" si="992"/>
        <v>0</v>
      </c>
    </row>
    <row r="3107" spans="1:7" ht="19.899999999999999" customHeight="1">
      <c r="A3107" s="505"/>
      <c r="B3107" s="466"/>
      <c r="C3107" s="469"/>
      <c r="D3107" s="470"/>
      <c r="E3107" s="471">
        <f t="shared" si="990"/>
        <v>0</v>
      </c>
      <c r="F3107" s="472">
        <f t="shared" si="991"/>
        <v>0</v>
      </c>
      <c r="G3107" s="472">
        <f t="shared" si="992"/>
        <v>0</v>
      </c>
    </row>
    <row r="3108" spans="1:7" ht="19.899999999999999" customHeight="1">
      <c r="A3108" s="505"/>
      <c r="B3108" s="466"/>
      <c r="C3108" s="469"/>
      <c r="D3108" s="470"/>
      <c r="E3108" s="471">
        <f t="shared" si="990"/>
        <v>0</v>
      </c>
      <c r="F3108" s="472">
        <f t="shared" si="991"/>
        <v>0</v>
      </c>
      <c r="G3108" s="472">
        <f t="shared" si="992"/>
        <v>0</v>
      </c>
    </row>
    <row r="3109" spans="1:7" ht="19.899999999999999" customHeight="1">
      <c r="A3109" s="505"/>
      <c r="B3109" s="466"/>
      <c r="C3109" s="469"/>
      <c r="D3109" s="470"/>
      <c r="E3109" s="471">
        <f t="shared" si="990"/>
        <v>0</v>
      </c>
      <c r="F3109" s="472">
        <f t="shared" si="991"/>
        <v>0</v>
      </c>
      <c r="G3109" s="472">
        <f t="shared" si="992"/>
        <v>0</v>
      </c>
    </row>
    <row r="3110" spans="1:7" ht="19.899999999999999" customHeight="1">
      <c r="A3110" s="505"/>
      <c r="B3110" s="466"/>
      <c r="C3110" s="469"/>
      <c r="D3110" s="470"/>
      <c r="E3110" s="471">
        <f t="shared" si="990"/>
        <v>0</v>
      </c>
      <c r="F3110" s="472">
        <f t="shared" si="991"/>
        <v>0</v>
      </c>
      <c r="G3110" s="472">
        <f t="shared" si="992"/>
        <v>0</v>
      </c>
    </row>
    <row r="3111" spans="1:7" ht="19.899999999999999" customHeight="1">
      <c r="A3111" s="505"/>
      <c r="B3111" s="466"/>
      <c r="C3111" s="163"/>
      <c r="D3111" s="163"/>
      <c r="E3111" s="473"/>
      <c r="F3111" s="458"/>
      <c r="G3111" s="507"/>
    </row>
    <row r="3112" spans="1:7" ht="19.899999999999999" customHeight="1">
      <c r="A3112" s="505"/>
      <c r="B3112" s="163"/>
      <c r="C3112" s="455" t="s">
        <v>1003</v>
      </c>
      <c r="D3112" s="458" t="s">
        <v>1000</v>
      </c>
      <c r="E3112" s="524">
        <f>SUMPRODUCT(D3101:D3110,E3101:E3110)</f>
        <v>0</v>
      </c>
      <c r="F3112" s="458" t="s">
        <v>1004</v>
      </c>
      <c r="G3112" s="525">
        <f>SUM(G3101:G3110)</f>
        <v>0</v>
      </c>
    </row>
    <row r="3113" spans="1:7" ht="19.899999999999999" customHeight="1">
      <c r="A3113" s="505"/>
      <c r="B3113" s="466"/>
      <c r="C3113" s="474"/>
      <c r="D3113" s="473"/>
      <c r="E3113" s="460"/>
      <c r="F3113" s="458"/>
      <c r="G3113" s="511"/>
    </row>
    <row r="3114" spans="1:7" ht="19.899999999999999" customHeight="1">
      <c r="A3114" s="512"/>
      <c r="B3114" s="466"/>
      <c r="C3114" s="458" t="s">
        <v>1005</v>
      </c>
      <c r="D3114" s="475"/>
      <c r="E3114" s="476" t="str">
        <f ca="1">G3096&amp;"/día"</f>
        <v>m3/día</v>
      </c>
      <c r="F3114" s="452"/>
      <c r="G3114" s="507"/>
    </row>
    <row r="3115" spans="1:7" ht="19.899999999999999" customHeight="1">
      <c r="A3115" s="505"/>
      <c r="B3115" s="466"/>
      <c r="C3115" s="163"/>
      <c r="D3115" s="459"/>
      <c r="E3115" s="460"/>
      <c r="F3115" s="458"/>
      <c r="G3115" s="507"/>
    </row>
    <row r="3116" spans="1:7" ht="19.899999999999999" customHeight="1">
      <c r="A3116" s="677" t="s">
        <v>575</v>
      </c>
      <c r="B3116" s="678"/>
      <c r="C3116" s="679" t="s">
        <v>0</v>
      </c>
      <c r="D3116" s="691" t="s">
        <v>1864</v>
      </c>
      <c r="E3116" s="691" t="s">
        <v>1863</v>
      </c>
      <c r="F3116" s="683" t="s">
        <v>1006</v>
      </c>
      <c r="G3116" s="685" t="s">
        <v>25</v>
      </c>
    </row>
    <row r="3117" spans="1:7" ht="19.899999999999999" customHeight="1">
      <c r="A3117" s="477" t="s">
        <v>576</v>
      </c>
      <c r="B3117" s="477" t="s">
        <v>577</v>
      </c>
      <c r="C3117" s="680"/>
      <c r="D3117" s="692"/>
      <c r="E3117" s="682"/>
      <c r="F3117" s="684"/>
      <c r="G3117" s="686"/>
    </row>
    <row r="3118" spans="1:7" ht="19.899999999999999" customHeight="1">
      <c r="A3118" s="513"/>
      <c r="B3118" s="163"/>
      <c r="C3118" s="455" t="s">
        <v>1007</v>
      </c>
      <c r="D3118" s="460"/>
      <c r="E3118" s="460"/>
      <c r="F3118" s="163"/>
      <c r="G3118" s="514"/>
    </row>
    <row r="3119" spans="1:7" ht="19.899999999999999" customHeight="1">
      <c r="A3119" s="515">
        <f t="shared" ref="A3119:A3127" si="993">IFERROR(VLOOKUP(C3119,T_Insumos,4,FALSE),0)</f>
        <v>0</v>
      </c>
      <c r="B3119" s="478">
        <f t="shared" ref="B3119:B3127" si="994">IFERROR(VLOOKUP(C3119,T_Insumos,5,FALSE),0)</f>
        <v>0</v>
      </c>
      <c r="C3119" s="469"/>
      <c r="D3119" s="479">
        <f t="shared" ref="D3119:D3127" si="995">IFERROR(VLOOKUP(C3119,T_Insumos,3,FALSE),0)</f>
        <v>0</v>
      </c>
      <c r="E3119" s="472">
        <f>D3119*$G$23</f>
        <v>0</v>
      </c>
      <c r="F3119" s="475">
        <f>IF(C3119="",0,IFERROR(VLOOKUP(COUNTIF($A$1:A3119,"ANALISIS DE PRECIOS"),T_Rendimiento_Equipo,5,FALSE),0))</f>
        <v>0</v>
      </c>
      <c r="G3119" s="472">
        <f>IFERROR(ROUND(E3119/F3119,2),0)</f>
        <v>0</v>
      </c>
    </row>
    <row r="3120" spans="1:7" ht="19.899999999999999" customHeight="1">
      <c r="A3120" s="515">
        <f t="shared" si="993"/>
        <v>0</v>
      </c>
      <c r="B3120" s="478">
        <f t="shared" si="994"/>
        <v>0</v>
      </c>
      <c r="C3120" s="469"/>
      <c r="D3120" s="479">
        <f t="shared" si="995"/>
        <v>0</v>
      </c>
      <c r="E3120" s="472">
        <f t="shared" ref="E3120:E3127" si="996">D3120*$G$23</f>
        <v>0</v>
      </c>
      <c r="F3120" s="475">
        <f>IF(C3120="",0,IFERROR(VLOOKUP(COUNTIF($A$1:A3120,"ANALISIS DE PRECIOS"),T_Rendimiento_Equipo,5,FALSE),0))</f>
        <v>0</v>
      </c>
      <c r="G3120" s="472">
        <f t="shared" ref="G3120:G3127" si="997">IFERROR(ROUND(E3120/F3120,2),0)</f>
        <v>0</v>
      </c>
    </row>
    <row r="3121" spans="1:7" ht="19.899999999999999" customHeight="1">
      <c r="A3121" s="515">
        <f t="shared" si="993"/>
        <v>0</v>
      </c>
      <c r="B3121" s="478">
        <f t="shared" si="994"/>
        <v>0</v>
      </c>
      <c r="C3121" s="480"/>
      <c r="D3121" s="479">
        <f t="shared" si="995"/>
        <v>0</v>
      </c>
      <c r="E3121" s="472">
        <f t="shared" si="996"/>
        <v>0</v>
      </c>
      <c r="F3121" s="475">
        <f>IF(C3121="",0,IFERROR(VLOOKUP(COUNTIF($A$1:A3121,"ANALISIS DE PRECIOS"),T_Rendimiento_Equipo,5,FALSE),0))</f>
        <v>0</v>
      </c>
      <c r="G3121" s="472">
        <f t="shared" si="997"/>
        <v>0</v>
      </c>
    </row>
    <row r="3122" spans="1:7" ht="19.899999999999999" customHeight="1">
      <c r="A3122" s="515">
        <f t="shared" si="993"/>
        <v>0</v>
      </c>
      <c r="B3122" s="478">
        <f t="shared" si="994"/>
        <v>0</v>
      </c>
      <c r="C3122" s="480"/>
      <c r="D3122" s="479">
        <f t="shared" si="995"/>
        <v>0</v>
      </c>
      <c r="E3122" s="472">
        <f t="shared" si="996"/>
        <v>0</v>
      </c>
      <c r="F3122" s="475">
        <f>IF(C3122="",0,IFERROR(VLOOKUP(COUNTIF($A$1:A3122,"ANALISIS DE PRECIOS"),T_Rendimiento_Equipo,5,FALSE),0))</f>
        <v>0</v>
      </c>
      <c r="G3122" s="472">
        <f t="shared" si="997"/>
        <v>0</v>
      </c>
    </row>
    <row r="3123" spans="1:7" ht="19.899999999999999" customHeight="1">
      <c r="A3123" s="515">
        <f t="shared" si="993"/>
        <v>0</v>
      </c>
      <c r="B3123" s="478">
        <f t="shared" si="994"/>
        <v>0</v>
      </c>
      <c r="C3123" s="480"/>
      <c r="D3123" s="479">
        <f t="shared" si="995"/>
        <v>0</v>
      </c>
      <c r="E3123" s="472">
        <f t="shared" si="996"/>
        <v>0</v>
      </c>
      <c r="F3123" s="475">
        <f>IF(C3123="",0,IFERROR(VLOOKUP(COUNTIF($A$1:A3123,"ANALISIS DE PRECIOS"),T_Rendimiento_Equipo,5,FALSE),0))</f>
        <v>0</v>
      </c>
      <c r="G3123" s="472">
        <f t="shared" si="997"/>
        <v>0</v>
      </c>
    </row>
    <row r="3124" spans="1:7" ht="19.899999999999999" customHeight="1">
      <c r="A3124" s="515">
        <f t="shared" si="993"/>
        <v>0</v>
      </c>
      <c r="B3124" s="478">
        <f t="shared" si="994"/>
        <v>0</v>
      </c>
      <c r="C3124" s="480"/>
      <c r="D3124" s="479">
        <f t="shared" si="995"/>
        <v>0</v>
      </c>
      <c r="E3124" s="472">
        <f t="shared" si="996"/>
        <v>0</v>
      </c>
      <c r="F3124" s="475">
        <f>IF(C3124="",0,IFERROR(VLOOKUP(COUNTIF($A$1:A3124,"ANALISIS DE PRECIOS"),T_Rendimiento_Equipo,5,FALSE),0))</f>
        <v>0</v>
      </c>
      <c r="G3124" s="472">
        <f t="shared" si="997"/>
        <v>0</v>
      </c>
    </row>
    <row r="3125" spans="1:7" ht="19.899999999999999" customHeight="1">
      <c r="A3125" s="515">
        <f t="shared" si="993"/>
        <v>0</v>
      </c>
      <c r="B3125" s="478">
        <f t="shared" si="994"/>
        <v>0</v>
      </c>
      <c r="C3125" s="480"/>
      <c r="D3125" s="479">
        <f t="shared" si="995"/>
        <v>0</v>
      </c>
      <c r="E3125" s="472">
        <f t="shared" si="996"/>
        <v>0</v>
      </c>
      <c r="F3125" s="475">
        <f>IF(C3125="",0,IFERROR(VLOOKUP(COUNTIF($A$1:A3125,"ANALISIS DE PRECIOS"),T_Rendimiento_Equipo,5,FALSE),0))</f>
        <v>0</v>
      </c>
      <c r="G3125" s="472">
        <f t="shared" si="997"/>
        <v>0</v>
      </c>
    </row>
    <row r="3126" spans="1:7" ht="19.899999999999999" customHeight="1">
      <c r="A3126" s="515">
        <f t="shared" si="993"/>
        <v>0</v>
      </c>
      <c r="B3126" s="478">
        <f t="shared" si="994"/>
        <v>0</v>
      </c>
      <c r="C3126" s="480"/>
      <c r="D3126" s="479">
        <f t="shared" si="995"/>
        <v>0</v>
      </c>
      <c r="E3126" s="472">
        <f t="shared" si="996"/>
        <v>0</v>
      </c>
      <c r="F3126" s="475">
        <f>IF(C3126="",0,IFERROR(VLOOKUP(COUNTIF($A$1:A3126,"ANALISIS DE PRECIOS"),T_Rendimiento_Equipo,5,FALSE),0))</f>
        <v>0</v>
      </c>
      <c r="G3126" s="472">
        <f t="shared" si="997"/>
        <v>0</v>
      </c>
    </row>
    <row r="3127" spans="1:7" ht="19.899999999999999" customHeight="1">
      <c r="A3127" s="515">
        <f t="shared" si="993"/>
        <v>0</v>
      </c>
      <c r="B3127" s="478">
        <f t="shared" si="994"/>
        <v>0</v>
      </c>
      <c r="C3127" s="469"/>
      <c r="D3127" s="479">
        <f t="shared" si="995"/>
        <v>0</v>
      </c>
      <c r="E3127" s="472">
        <f t="shared" si="996"/>
        <v>0</v>
      </c>
      <c r="F3127" s="475">
        <f>IF(C3127="",0,IFERROR(VLOOKUP(COUNTIF($A$1:A3127,"ANALISIS DE PRECIOS"),T_Rendimiento_Equipo,5,FALSE),0))</f>
        <v>0</v>
      </c>
      <c r="G3127" s="472">
        <f t="shared" si="997"/>
        <v>0</v>
      </c>
    </row>
    <row r="3128" spans="1:7" ht="19.899999999999999" customHeight="1">
      <c r="A3128" s="516"/>
      <c r="B3128" s="459"/>
      <c r="C3128" s="163"/>
      <c r="D3128" s="459"/>
      <c r="E3128" s="460"/>
      <c r="F3128" s="650" t="s">
        <v>26</v>
      </c>
      <c r="G3128" s="517">
        <f>SUBTOTAL(9,G3119:G3127)</f>
        <v>0</v>
      </c>
    </row>
    <row r="3129" spans="1:7" ht="19.899999999999999" customHeight="1">
      <c r="A3129" s="513"/>
      <c r="B3129" s="163"/>
      <c r="C3129" s="455" t="s">
        <v>712</v>
      </c>
      <c r="D3129" s="459"/>
      <c r="E3129" s="460"/>
      <c r="F3129" s="461"/>
      <c r="G3129" s="514"/>
    </row>
    <row r="3130" spans="1:7" ht="19.899999999999999" customHeight="1">
      <c r="A3130" s="677" t="s">
        <v>575</v>
      </c>
      <c r="B3130" s="678"/>
      <c r="C3130" s="679" t="s">
        <v>0</v>
      </c>
      <c r="D3130" s="681" t="s">
        <v>23</v>
      </c>
      <c r="E3130" s="681" t="s">
        <v>1830</v>
      </c>
      <c r="F3130" s="683" t="s">
        <v>1006</v>
      </c>
      <c r="G3130" s="685" t="s">
        <v>25</v>
      </c>
    </row>
    <row r="3131" spans="1:7" ht="19.899999999999999" customHeight="1">
      <c r="A3131" s="477" t="s">
        <v>576</v>
      </c>
      <c r="B3131" s="477" t="s">
        <v>577</v>
      </c>
      <c r="C3131" s="680"/>
      <c r="D3131" s="682"/>
      <c r="E3131" s="682"/>
      <c r="F3131" s="684"/>
      <c r="G3131" s="686"/>
    </row>
    <row r="3132" spans="1:7" ht="19.899999999999999" customHeight="1">
      <c r="A3132" s="515">
        <f t="shared" ref="A3132:A3138" si="998">IFERROR(VLOOKUP(C3132,T_Insumos,4,FALSE),0)</f>
        <v>0</v>
      </c>
      <c r="B3132" s="478">
        <f t="shared" ref="B3132:B3138" si="999">IFERROR(VLOOKUP(C3132,T_Insumos,5,FALSE),0)</f>
        <v>0</v>
      </c>
      <c r="C3132" s="482"/>
      <c r="D3132" s="475"/>
      <c r="E3132" s="472">
        <f t="shared" ref="E3132:E3138" si="1000">IFERROR(VLOOKUP(C3132,T_Insumos,3,FALSE),0)</f>
        <v>0</v>
      </c>
      <c r="F3132" s="475">
        <f>IF(C3132="",0,IFERROR(VLOOKUP(COUNTIF($A$1:A3132,"ANALISIS DE PRECIOS"),T_Rendimiento_Equipo,5,FALSE),0))</f>
        <v>0</v>
      </c>
      <c r="G3132" s="472">
        <f>IFERROR(ROUND(D3132*E3132/F3132,2),0)</f>
        <v>0</v>
      </c>
    </row>
    <row r="3133" spans="1:7" ht="19.899999999999999" customHeight="1">
      <c r="A3133" s="515">
        <f t="shared" si="998"/>
        <v>0</v>
      </c>
      <c r="B3133" s="478">
        <f t="shared" si="999"/>
        <v>0</v>
      </c>
      <c r="C3133" s="469"/>
      <c r="D3133" s="475"/>
      <c r="E3133" s="472">
        <f t="shared" si="1000"/>
        <v>0</v>
      </c>
      <c r="F3133" s="475">
        <f>IF(C3133="",0,IFERROR(VLOOKUP(COUNTIF($A$1:A3133,"ANALISIS DE PRECIOS"),T_Rendimiento_Equipo,5,FALSE),0))</f>
        <v>0</v>
      </c>
      <c r="G3133" s="472">
        <f t="shared" ref="G3133:G3138" si="1001">IFERROR(ROUND(D3133*E3133/F3133,2),0)</f>
        <v>0</v>
      </c>
    </row>
    <row r="3134" spans="1:7" ht="19.899999999999999" customHeight="1">
      <c r="A3134" s="515">
        <f t="shared" si="998"/>
        <v>0</v>
      </c>
      <c r="B3134" s="478">
        <f t="shared" si="999"/>
        <v>0</v>
      </c>
      <c r="C3134" s="469"/>
      <c r="D3134" s="475"/>
      <c r="E3134" s="472">
        <f t="shared" si="1000"/>
        <v>0</v>
      </c>
      <c r="F3134" s="475">
        <f>IF(C3134="",0,IFERROR(VLOOKUP(COUNTIF($A$1:A3134,"ANALISIS DE PRECIOS"),T_Rendimiento_Equipo,5,FALSE),0))</f>
        <v>0</v>
      </c>
      <c r="G3134" s="472">
        <f t="shared" si="1001"/>
        <v>0</v>
      </c>
    </row>
    <row r="3135" spans="1:7" ht="19.899999999999999" customHeight="1">
      <c r="A3135" s="515">
        <f t="shared" si="998"/>
        <v>0</v>
      </c>
      <c r="B3135" s="478">
        <f t="shared" si="999"/>
        <v>0</v>
      </c>
      <c r="C3135" s="469"/>
      <c r="D3135" s="475"/>
      <c r="E3135" s="472">
        <f t="shared" si="1000"/>
        <v>0</v>
      </c>
      <c r="F3135" s="475">
        <f>IF(C3135="",0,IFERROR(VLOOKUP(COUNTIF($A$1:A3135,"ANALISIS DE PRECIOS"),T_Rendimiento_Equipo,5,FALSE),0))</f>
        <v>0</v>
      </c>
      <c r="G3135" s="472">
        <f t="shared" si="1001"/>
        <v>0</v>
      </c>
    </row>
    <row r="3136" spans="1:7" ht="19.899999999999999" customHeight="1">
      <c r="A3136" s="515">
        <f t="shared" si="998"/>
        <v>0</v>
      </c>
      <c r="B3136" s="478">
        <f t="shared" si="999"/>
        <v>0</v>
      </c>
      <c r="C3136" s="469"/>
      <c r="D3136" s="475"/>
      <c r="E3136" s="472">
        <f t="shared" si="1000"/>
        <v>0</v>
      </c>
      <c r="F3136" s="475">
        <f>IF(C3136="",0,IFERROR(VLOOKUP(COUNTIF($A$1:A3136,"ANALISIS DE PRECIOS"),T_Rendimiento_Equipo,5,FALSE),0))</f>
        <v>0</v>
      </c>
      <c r="G3136" s="472">
        <f t="shared" si="1001"/>
        <v>0</v>
      </c>
    </row>
    <row r="3137" spans="1:7" ht="19.899999999999999" customHeight="1">
      <c r="A3137" s="515">
        <f t="shared" si="998"/>
        <v>0</v>
      </c>
      <c r="B3137" s="478">
        <f t="shared" si="999"/>
        <v>0</v>
      </c>
      <c r="C3137" s="469"/>
      <c r="D3137" s="483"/>
      <c r="E3137" s="472">
        <f t="shared" si="1000"/>
        <v>0</v>
      </c>
      <c r="F3137" s="475">
        <f>IF(C3137="",0,IFERROR(VLOOKUP(COUNTIF($A$1:A3137,"ANALISIS DE PRECIOS"),T_Rendimiento_Equipo,5,FALSE),0))</f>
        <v>0</v>
      </c>
      <c r="G3137" s="472">
        <f t="shared" si="1001"/>
        <v>0</v>
      </c>
    </row>
    <row r="3138" spans="1:7" ht="19.899999999999999" customHeight="1">
      <c r="A3138" s="515">
        <f t="shared" si="998"/>
        <v>0</v>
      </c>
      <c r="B3138" s="478">
        <f t="shared" si="999"/>
        <v>0</v>
      </c>
      <c r="C3138" s="478"/>
      <c r="D3138" s="484"/>
      <c r="E3138" s="472">
        <f t="shared" si="1000"/>
        <v>0</v>
      </c>
      <c r="F3138" s="475">
        <f>IF(C3138="",0,IFERROR(VLOOKUP(COUNTIF($A$1:A3138,"ANALISIS DE PRECIOS"),T_Rendimiento_Equipo,5,FALSE),0))</f>
        <v>0</v>
      </c>
      <c r="G3138" s="472">
        <f t="shared" si="1001"/>
        <v>0</v>
      </c>
    </row>
    <row r="3139" spans="1:7" ht="19.899999999999999" customHeight="1">
      <c r="A3139" s="516"/>
      <c r="B3139" s="459"/>
      <c r="C3139" s="163"/>
      <c r="D3139" s="459"/>
      <c r="E3139" s="460"/>
      <c r="F3139" s="650" t="s">
        <v>27</v>
      </c>
      <c r="G3139" s="518">
        <f>SUBTOTAL(9,G3132:G3138)</f>
        <v>0</v>
      </c>
    </row>
    <row r="3140" spans="1:7" ht="19.899999999999999" customHeight="1">
      <c r="A3140" s="513"/>
      <c r="B3140" s="163"/>
      <c r="C3140" s="455" t="s">
        <v>1013</v>
      </c>
      <c r="D3140" s="459"/>
      <c r="E3140" s="460"/>
      <c r="F3140" s="461"/>
      <c r="G3140" s="514"/>
    </row>
    <row r="3141" spans="1:7" ht="19.899999999999999" customHeight="1">
      <c r="A3141" s="677" t="s">
        <v>575</v>
      </c>
      <c r="B3141" s="678"/>
      <c r="C3141" s="679" t="s">
        <v>0</v>
      </c>
      <c r="D3141" s="679" t="s">
        <v>1865</v>
      </c>
      <c r="E3141" s="681" t="s">
        <v>23</v>
      </c>
      <c r="F3141" s="683" t="s">
        <v>24</v>
      </c>
      <c r="G3141" s="685" t="s">
        <v>25</v>
      </c>
    </row>
    <row r="3142" spans="1:7" ht="19.899999999999999" customHeight="1">
      <c r="A3142" s="477" t="s">
        <v>576</v>
      </c>
      <c r="B3142" s="477" t="s">
        <v>577</v>
      </c>
      <c r="C3142" s="680"/>
      <c r="D3142" s="680"/>
      <c r="E3142" s="682"/>
      <c r="F3142" s="684"/>
      <c r="G3142" s="686"/>
    </row>
    <row r="3143" spans="1:7" ht="19.899999999999999" customHeight="1">
      <c r="A3143" s="515">
        <f t="shared" ref="A3143:A3153" si="1002">IFERROR(VLOOKUP(C3143,T_Insumos,4,FALSE),0)</f>
        <v>0</v>
      </c>
      <c r="B3143" s="478">
        <f t="shared" ref="B3143:B3153" si="1003">IFERROR(VLOOKUP(C3143,T_Insumos,5,FALSE),0)</f>
        <v>0</v>
      </c>
      <c r="C3143" s="478"/>
      <c r="D3143" s="526">
        <f t="shared" ref="D3143:D3153" si="1004">IFERROR(VLOOKUP(C3143,T_Insumos,2,FALSE),0)</f>
        <v>0</v>
      </c>
      <c r="E3143" s="470"/>
      <c r="F3143" s="472">
        <f t="shared" ref="F3143:F3153" si="1005">IFERROR(VLOOKUP(C3143,T_Insumos,3,FALSE),0)</f>
        <v>0</v>
      </c>
      <c r="G3143" s="472">
        <f>ROUND(E3143*F3143,2)</f>
        <v>0</v>
      </c>
    </row>
    <row r="3144" spans="1:7" ht="19.899999999999999" customHeight="1">
      <c r="A3144" s="515">
        <f t="shared" si="1002"/>
        <v>0</v>
      </c>
      <c r="B3144" s="478">
        <f t="shared" si="1003"/>
        <v>0</v>
      </c>
      <c r="C3144" s="478"/>
      <c r="D3144" s="526">
        <f t="shared" si="1004"/>
        <v>0</v>
      </c>
      <c r="E3144" s="470"/>
      <c r="F3144" s="472">
        <f t="shared" si="1005"/>
        <v>0</v>
      </c>
      <c r="G3144" s="472">
        <f t="shared" ref="G3144:G3153" si="1006">ROUND(E3144*F3144,2)</f>
        <v>0</v>
      </c>
    </row>
    <row r="3145" spans="1:7" ht="19.899999999999999" customHeight="1">
      <c r="A3145" s="515">
        <f t="shared" si="1002"/>
        <v>0</v>
      </c>
      <c r="B3145" s="478">
        <f t="shared" si="1003"/>
        <v>0</v>
      </c>
      <c r="C3145" s="478"/>
      <c r="D3145" s="526">
        <f t="shared" si="1004"/>
        <v>0</v>
      </c>
      <c r="E3145" s="470"/>
      <c r="F3145" s="472">
        <f t="shared" si="1005"/>
        <v>0</v>
      </c>
      <c r="G3145" s="472">
        <f t="shared" si="1006"/>
        <v>0</v>
      </c>
    </row>
    <row r="3146" spans="1:7" ht="19.899999999999999" customHeight="1">
      <c r="A3146" s="515">
        <f t="shared" si="1002"/>
        <v>0</v>
      </c>
      <c r="B3146" s="478">
        <f t="shared" si="1003"/>
        <v>0</v>
      </c>
      <c r="C3146" s="478"/>
      <c r="D3146" s="526">
        <f t="shared" si="1004"/>
        <v>0</v>
      </c>
      <c r="E3146" s="470"/>
      <c r="F3146" s="472">
        <f t="shared" si="1005"/>
        <v>0</v>
      </c>
      <c r="G3146" s="472">
        <f t="shared" si="1006"/>
        <v>0</v>
      </c>
    </row>
    <row r="3147" spans="1:7" ht="19.899999999999999" customHeight="1">
      <c r="A3147" s="515">
        <f t="shared" si="1002"/>
        <v>0</v>
      </c>
      <c r="B3147" s="478">
        <f t="shared" si="1003"/>
        <v>0</v>
      </c>
      <c r="C3147" s="478"/>
      <c r="D3147" s="526">
        <f t="shared" si="1004"/>
        <v>0</v>
      </c>
      <c r="E3147" s="470"/>
      <c r="F3147" s="472">
        <f t="shared" si="1005"/>
        <v>0</v>
      </c>
      <c r="G3147" s="472">
        <f t="shared" si="1006"/>
        <v>0</v>
      </c>
    </row>
    <row r="3148" spans="1:7" ht="19.899999999999999" customHeight="1">
      <c r="A3148" s="515">
        <f t="shared" si="1002"/>
        <v>0</v>
      </c>
      <c r="B3148" s="478">
        <f t="shared" si="1003"/>
        <v>0</v>
      </c>
      <c r="C3148" s="478"/>
      <c r="D3148" s="526">
        <f t="shared" si="1004"/>
        <v>0</v>
      </c>
      <c r="E3148" s="470"/>
      <c r="F3148" s="472">
        <f t="shared" si="1005"/>
        <v>0</v>
      </c>
      <c r="G3148" s="472">
        <f t="shared" si="1006"/>
        <v>0</v>
      </c>
    </row>
    <row r="3149" spans="1:7" ht="19.899999999999999" customHeight="1">
      <c r="A3149" s="515">
        <f t="shared" si="1002"/>
        <v>0</v>
      </c>
      <c r="B3149" s="478">
        <f t="shared" si="1003"/>
        <v>0</v>
      </c>
      <c r="C3149" s="478"/>
      <c r="D3149" s="526">
        <f t="shared" si="1004"/>
        <v>0</v>
      </c>
      <c r="E3149" s="470"/>
      <c r="F3149" s="472">
        <f t="shared" si="1005"/>
        <v>0</v>
      </c>
      <c r="G3149" s="472">
        <f t="shared" si="1006"/>
        <v>0</v>
      </c>
    </row>
    <row r="3150" spans="1:7" ht="19.899999999999999" customHeight="1">
      <c r="A3150" s="515">
        <f t="shared" si="1002"/>
        <v>0</v>
      </c>
      <c r="B3150" s="478">
        <f t="shared" si="1003"/>
        <v>0</v>
      </c>
      <c r="C3150" s="478"/>
      <c r="D3150" s="526">
        <f t="shared" si="1004"/>
        <v>0</v>
      </c>
      <c r="E3150" s="470"/>
      <c r="F3150" s="472">
        <f t="shared" si="1005"/>
        <v>0</v>
      </c>
      <c r="G3150" s="472">
        <f t="shared" si="1006"/>
        <v>0</v>
      </c>
    </row>
    <row r="3151" spans="1:7" ht="19.899999999999999" customHeight="1">
      <c r="A3151" s="515">
        <f t="shared" si="1002"/>
        <v>0</v>
      </c>
      <c r="B3151" s="478">
        <f t="shared" si="1003"/>
        <v>0</v>
      </c>
      <c r="C3151" s="478"/>
      <c r="D3151" s="526">
        <f t="shared" si="1004"/>
        <v>0</v>
      </c>
      <c r="E3151" s="470"/>
      <c r="F3151" s="472">
        <f t="shared" si="1005"/>
        <v>0</v>
      </c>
      <c r="G3151" s="472">
        <f t="shared" si="1006"/>
        <v>0</v>
      </c>
    </row>
    <row r="3152" spans="1:7" ht="19.899999999999999" customHeight="1">
      <c r="A3152" s="515">
        <f t="shared" si="1002"/>
        <v>0</v>
      </c>
      <c r="B3152" s="478">
        <f t="shared" si="1003"/>
        <v>0</v>
      </c>
      <c r="C3152" s="478"/>
      <c r="D3152" s="526">
        <f t="shared" si="1004"/>
        <v>0</v>
      </c>
      <c r="E3152" s="470"/>
      <c r="F3152" s="472">
        <f t="shared" si="1005"/>
        <v>0</v>
      </c>
      <c r="G3152" s="472">
        <f t="shared" si="1006"/>
        <v>0</v>
      </c>
    </row>
    <row r="3153" spans="1:7" ht="19.899999999999999" customHeight="1">
      <c r="A3153" s="515">
        <f t="shared" si="1002"/>
        <v>0</v>
      </c>
      <c r="B3153" s="478">
        <f t="shared" si="1003"/>
        <v>0</v>
      </c>
      <c r="C3153" s="478"/>
      <c r="D3153" s="526">
        <f t="shared" si="1004"/>
        <v>0</v>
      </c>
      <c r="E3153" s="470"/>
      <c r="F3153" s="472">
        <f t="shared" si="1005"/>
        <v>0</v>
      </c>
      <c r="G3153" s="472">
        <f t="shared" si="1006"/>
        <v>0</v>
      </c>
    </row>
    <row r="3154" spans="1:7" ht="19.899999999999999" customHeight="1">
      <c r="A3154" s="513"/>
      <c r="B3154" s="163"/>
      <c r="C3154" s="163"/>
      <c r="D3154" s="459"/>
      <c r="E3154" s="460"/>
      <c r="F3154" s="650" t="s">
        <v>28</v>
      </c>
      <c r="G3154" s="518">
        <f>SUBTOTAL(9,G3143:G3153)</f>
        <v>0</v>
      </c>
    </row>
    <row r="3155" spans="1:7" ht="19.899999999999999" customHeight="1">
      <c r="A3155" s="513"/>
      <c r="B3155" s="163"/>
      <c r="C3155" s="455" t="s">
        <v>1014</v>
      </c>
      <c r="D3155" s="459"/>
      <c r="E3155" s="460"/>
      <c r="F3155" s="461"/>
      <c r="G3155" s="514"/>
    </row>
    <row r="3156" spans="1:7" ht="19.899999999999999" customHeight="1">
      <c r="A3156" s="677" t="s">
        <v>575</v>
      </c>
      <c r="B3156" s="678"/>
      <c r="C3156" s="679" t="s">
        <v>0</v>
      </c>
      <c r="D3156" s="679" t="s">
        <v>1865</v>
      </c>
      <c r="E3156" s="681" t="s">
        <v>23</v>
      </c>
      <c r="F3156" s="683" t="s">
        <v>24</v>
      </c>
      <c r="G3156" s="685" t="s">
        <v>25</v>
      </c>
    </row>
    <row r="3157" spans="1:7" ht="19.899999999999999" customHeight="1">
      <c r="A3157" s="477" t="s">
        <v>576</v>
      </c>
      <c r="B3157" s="477" t="s">
        <v>577</v>
      </c>
      <c r="C3157" s="680"/>
      <c r="D3157" s="680"/>
      <c r="E3157" s="682"/>
      <c r="F3157" s="684"/>
      <c r="G3157" s="686"/>
    </row>
    <row r="3158" spans="1:7" ht="19.899999999999999" customHeight="1">
      <c r="A3158" s="515">
        <f>IFERROR(VLOOKUP(C3158,T_Insumos,4,FALSE),0)</f>
        <v>0</v>
      </c>
      <c r="B3158" s="478">
        <f>IFERROR(VLOOKUP(C3158,T_Insumos,5,FALSE),0)</f>
        <v>0</v>
      </c>
      <c r="C3158" s="469"/>
      <c r="D3158" s="526">
        <f>IF(C3158=0,0,"$/tnkm")</f>
        <v>0</v>
      </c>
      <c r="E3158" s="470"/>
      <c r="F3158" s="472">
        <f>IFERROR(VLOOKUP(C3158,T_Insumos,3,FALSE),0)</f>
        <v>0</v>
      </c>
      <c r="G3158" s="472">
        <f>ROUND(E3158*F3158,2)</f>
        <v>0</v>
      </c>
    </row>
    <row r="3159" spans="1:7" ht="19.899999999999999" customHeight="1">
      <c r="A3159" s="515">
        <f>IFERROR(VLOOKUP(C3159,T_Insumos,4,FALSE),0)</f>
        <v>0</v>
      </c>
      <c r="B3159" s="478">
        <f>IFERROR(VLOOKUP(C3159,T_Insumos,5,FALSE),0)</f>
        <v>0</v>
      </c>
      <c r="C3159" s="469"/>
      <c r="D3159" s="526">
        <f>IF(C3159=0,0,"$/tnkm")</f>
        <v>0</v>
      </c>
      <c r="E3159" s="486"/>
      <c r="F3159" s="472">
        <f>IFERROR(VLOOKUP(C3159,T_Insumos,3,FALSE),0)</f>
        <v>0</v>
      </c>
      <c r="G3159" s="472">
        <f t="shared" ref="G3159" si="1007">ROUND(E3159*F3159,2)</f>
        <v>0</v>
      </c>
    </row>
    <row r="3160" spans="1:7" ht="19.899999999999999" customHeight="1">
      <c r="A3160" s="513"/>
      <c r="B3160" s="163"/>
      <c r="C3160" s="163"/>
      <c r="D3160" s="459"/>
      <c r="E3160" s="460"/>
      <c r="F3160" s="650" t="s">
        <v>1015</v>
      </c>
      <c r="G3160" s="518">
        <f>SUBTOTAL(9,G3158:G3159)</f>
        <v>0</v>
      </c>
    </row>
    <row r="3161" spans="1:7" ht="19.899999999999999" customHeight="1">
      <c r="A3161" s="516"/>
      <c r="B3161" s="459"/>
      <c r="C3161" s="163"/>
      <c r="D3161" s="459"/>
      <c r="E3161" s="460"/>
      <c r="F3161" s="461"/>
      <c r="G3161" s="514"/>
    </row>
    <row r="3162" spans="1:7" ht="19.899999999999999" customHeight="1">
      <c r="A3162" s="574" t="str">
        <f>B3096</f>
        <v>6.2.3</v>
      </c>
      <c r="B3162" s="571" t="str">
        <f ca="1">C3096</f>
        <v>Demoliciones</v>
      </c>
      <c r="C3162" s="459"/>
      <c r="D3162" s="459" t="s">
        <v>1831</v>
      </c>
      <c r="E3162" s="572"/>
      <c r="F3162" s="573" t="str">
        <f ca="1">"$/"&amp;G3096</f>
        <v>$/m3</v>
      </c>
      <c r="G3162" s="523">
        <f>SUBTOTAL(9,G3119:G3161)</f>
        <v>0</v>
      </c>
    </row>
    <row r="3163" spans="1:7" ht="19.899999999999999" customHeight="1">
      <c r="A3163" s="519"/>
      <c r="B3163" s="520"/>
      <c r="C3163" s="521"/>
      <c r="D3163" s="521" t="s">
        <v>2041</v>
      </c>
      <c r="E3163" s="522"/>
      <c r="F3163" s="575" t="str">
        <f ca="1">"$/"&amp;G3096</f>
        <v>$/m3</v>
      </c>
      <c r="G3163" s="523">
        <f>ROUND(G3162*Coeficiente_Paso,2)</f>
        <v>0</v>
      </c>
    </row>
    <row r="3164" spans="1:7" ht="19.899999999999999" customHeight="1">
      <c r="A3164" s="163"/>
      <c r="B3164" s="163"/>
      <c r="C3164" s="163"/>
      <c r="D3164" s="163"/>
      <c r="E3164" s="163"/>
      <c r="F3164" s="163"/>
      <c r="G3164" s="163"/>
    </row>
    <row r="3165" spans="1:7" ht="19.899999999999999" customHeight="1">
      <c r="A3165" s="687" t="s">
        <v>30</v>
      </c>
      <c r="B3165" s="688"/>
      <c r="C3165" s="688"/>
      <c r="D3165" s="688"/>
      <c r="E3165" s="688"/>
      <c r="F3165" s="688"/>
      <c r="G3165" s="689"/>
    </row>
    <row r="3166" spans="1:7" ht="19.899999999999999" customHeight="1">
      <c r="A3166" s="502" t="s">
        <v>710</v>
      </c>
      <c r="B3166" s="453" t="str">
        <f>Comitente</f>
        <v>DEPARTAMENTO DE HIDRAULICA</v>
      </c>
      <c r="C3166" s="454"/>
      <c r="D3166" s="455"/>
      <c r="E3166" s="455"/>
      <c r="F3166" s="456"/>
      <c r="G3166" s="503"/>
    </row>
    <row r="3167" spans="1:7" ht="19.899999999999999" customHeight="1">
      <c r="A3167" s="502" t="s">
        <v>711</v>
      </c>
      <c r="B3167" s="453">
        <f>Contratista</f>
        <v>0</v>
      </c>
      <c r="C3167" s="457"/>
      <c r="D3167" s="457"/>
      <c r="E3167" s="457"/>
      <c r="F3167" s="453"/>
      <c r="G3167" s="504"/>
    </row>
    <row r="3168" spans="1:7" ht="19.899999999999999" customHeight="1">
      <c r="A3168" s="502" t="s">
        <v>20</v>
      </c>
      <c r="B3168" s="453" t="str">
        <f>Obra</f>
        <v>MEJORA DE LA RED DE RIEGO DEL VALLE DE JÁCHAL</v>
      </c>
      <c r="C3168" s="457"/>
      <c r="D3168" s="457"/>
      <c r="E3168" s="457"/>
      <c r="F3168" s="453" t="s">
        <v>31</v>
      </c>
      <c r="G3168" s="504" t="str">
        <f>Fecha_Base</f>
        <v>XX/07/2020</v>
      </c>
    </row>
    <row r="3169" spans="1:7" ht="19.899999999999999" customHeight="1">
      <c r="A3169" s="505" t="s">
        <v>709</v>
      </c>
      <c r="B3169" s="458" t="str">
        <f>Ubicación</f>
        <v>JACHAL</v>
      </c>
      <c r="C3169" s="458"/>
      <c r="D3169" s="459"/>
      <c r="E3169" s="460"/>
      <c r="F3169" s="461"/>
      <c r="G3169" s="506"/>
    </row>
    <row r="3170" spans="1:7" ht="19.899999999999999" customHeight="1">
      <c r="A3170" s="505" t="s">
        <v>32</v>
      </c>
      <c r="B3170" s="462">
        <f>IFERROR(VALUE(LEFT(B3171,FIND(".",B3171)-1)),"")</f>
        <v>6</v>
      </c>
      <c r="C3170" s="163" t="str">
        <f ca="1">IFERROR(VLOOKUP(B3170,T_Computo_Presupuesto,2,FALSE),0)</f>
        <v>CANAL DEL NORTE</v>
      </c>
      <c r="D3170" s="163"/>
      <c r="E3170" s="460"/>
      <c r="F3170" s="461"/>
      <c r="G3170" s="506"/>
    </row>
    <row r="3171" spans="1:7" ht="19.899999999999999" customHeight="1">
      <c r="A3171" s="505" t="s">
        <v>21</v>
      </c>
      <c r="B3171" s="463" t="str">
        <f>IFERROR(VLOOKUP(COUNTIF($A$1:A3171,"ANALISIS DE PRECIOS"),T_NumeroItem,2,FALSE),"")</f>
        <v>6.2.4</v>
      </c>
      <c r="C3171" s="690" t="str">
        <f ca="1">IFERROR(VLOOKUP(B3171,T_Computo_Presupuesto,2,FALSE),0)</f>
        <v>Hormigon de limpleza</v>
      </c>
      <c r="D3171" s="690"/>
      <c r="E3171" s="690"/>
      <c r="F3171" s="458" t="s">
        <v>22</v>
      </c>
      <c r="G3171" s="507" t="str">
        <f ca="1">IFERROR(VLOOKUP(B3171,T_Computo_Presupuesto,4,FALSE),0)</f>
        <v>m3</v>
      </c>
    </row>
    <row r="3172" spans="1:7" ht="19.899999999999999" customHeight="1">
      <c r="A3172" s="505"/>
      <c r="B3172" s="458"/>
      <c r="C3172" s="163"/>
      <c r="D3172" s="459"/>
      <c r="E3172" s="460"/>
      <c r="F3172" s="163"/>
      <c r="G3172" s="508"/>
    </row>
    <row r="3173" spans="1:7" ht="19.899999999999999" customHeight="1">
      <c r="A3173" s="509"/>
      <c r="B3173" s="464"/>
      <c r="C3173" s="465" t="s">
        <v>998</v>
      </c>
      <c r="D3173" s="464"/>
      <c r="E3173" s="464"/>
      <c r="F3173" s="464"/>
      <c r="G3173" s="510"/>
    </row>
    <row r="3174" spans="1:7" ht="19.899999999999999" customHeight="1">
      <c r="A3174" s="505"/>
      <c r="B3174" s="466"/>
      <c r="C3174" s="163"/>
      <c r="D3174" s="459"/>
      <c r="E3174" s="460"/>
      <c r="F3174" s="458"/>
      <c r="G3174" s="507"/>
    </row>
    <row r="3175" spans="1:7" ht="19.899999999999999" customHeight="1">
      <c r="A3175" s="505"/>
      <c r="B3175" s="466"/>
      <c r="C3175" s="467" t="s">
        <v>999</v>
      </c>
      <c r="D3175" s="468" t="s">
        <v>23</v>
      </c>
      <c r="E3175" s="468" t="s">
        <v>1000</v>
      </c>
      <c r="F3175" s="468" t="s">
        <v>1001</v>
      </c>
      <c r="G3175" s="467" t="s">
        <v>1002</v>
      </c>
    </row>
    <row r="3176" spans="1:7" ht="19.899999999999999" customHeight="1">
      <c r="A3176" s="505"/>
      <c r="B3176" s="466"/>
      <c r="C3176" s="469"/>
      <c r="D3176" s="470"/>
      <c r="E3176" s="471">
        <f t="shared" ref="E3176:E3185" si="1008">IFERROR(VLOOKUP(C3176,T_Equipos,4,FALSE),0)</f>
        <v>0</v>
      </c>
      <c r="F3176" s="472">
        <f t="shared" ref="F3176:F3185" si="1009">IFERROR(VLOOKUP(C3176,T_Equipos,5,FALSE),0)</f>
        <v>0</v>
      </c>
      <c r="G3176" s="472">
        <f>ROUND(D3176*F3176,2)</f>
        <v>0</v>
      </c>
    </row>
    <row r="3177" spans="1:7" ht="19.899999999999999" customHeight="1">
      <c r="A3177" s="505"/>
      <c r="B3177" s="466"/>
      <c r="C3177" s="469"/>
      <c r="D3177" s="470"/>
      <c r="E3177" s="471">
        <f t="shared" si="1008"/>
        <v>0</v>
      </c>
      <c r="F3177" s="472">
        <f t="shared" si="1009"/>
        <v>0</v>
      </c>
      <c r="G3177" s="472">
        <f>ROUND(D3177*F3177,2)</f>
        <v>0</v>
      </c>
    </row>
    <row r="3178" spans="1:7" ht="19.899999999999999" customHeight="1">
      <c r="A3178" s="505"/>
      <c r="B3178" s="466"/>
      <c r="C3178" s="469"/>
      <c r="D3178" s="470"/>
      <c r="E3178" s="471">
        <f t="shared" si="1008"/>
        <v>0</v>
      </c>
      <c r="F3178" s="472">
        <f t="shared" si="1009"/>
        <v>0</v>
      </c>
      <c r="G3178" s="472">
        <f>ROUND(D3178*F3178,2)</f>
        <v>0</v>
      </c>
    </row>
    <row r="3179" spans="1:7" ht="19.899999999999999" customHeight="1">
      <c r="A3179" s="505"/>
      <c r="B3179" s="466"/>
      <c r="C3179" s="469"/>
      <c r="D3179" s="470"/>
      <c r="E3179" s="471">
        <f t="shared" si="1008"/>
        <v>0</v>
      </c>
      <c r="F3179" s="472">
        <f t="shared" si="1009"/>
        <v>0</v>
      </c>
      <c r="G3179" s="472">
        <f>ROUND(D3179*F3179,2)</f>
        <v>0</v>
      </c>
    </row>
    <row r="3180" spans="1:7" ht="19.899999999999999" customHeight="1">
      <c r="A3180" s="505"/>
      <c r="B3180" s="466"/>
      <c r="C3180" s="469"/>
      <c r="D3180" s="470"/>
      <c r="E3180" s="471">
        <f t="shared" si="1008"/>
        <v>0</v>
      </c>
      <c r="F3180" s="472">
        <f t="shared" si="1009"/>
        <v>0</v>
      </c>
      <c r="G3180" s="472">
        <f t="shared" ref="G3180:G3185" si="1010">ROUND(D3180*F3180,2)</f>
        <v>0</v>
      </c>
    </row>
    <row r="3181" spans="1:7" ht="19.899999999999999" customHeight="1">
      <c r="A3181" s="505"/>
      <c r="B3181" s="466"/>
      <c r="C3181" s="469"/>
      <c r="D3181" s="470"/>
      <c r="E3181" s="471">
        <f t="shared" si="1008"/>
        <v>0</v>
      </c>
      <c r="F3181" s="472">
        <f t="shared" si="1009"/>
        <v>0</v>
      </c>
      <c r="G3181" s="472">
        <f t="shared" si="1010"/>
        <v>0</v>
      </c>
    </row>
    <row r="3182" spans="1:7" ht="19.899999999999999" customHeight="1">
      <c r="A3182" s="505"/>
      <c r="B3182" s="466"/>
      <c r="C3182" s="469"/>
      <c r="D3182" s="470"/>
      <c r="E3182" s="471">
        <f t="shared" si="1008"/>
        <v>0</v>
      </c>
      <c r="F3182" s="472">
        <f t="shared" si="1009"/>
        <v>0</v>
      </c>
      <c r="G3182" s="472">
        <f t="shared" si="1010"/>
        <v>0</v>
      </c>
    </row>
    <row r="3183" spans="1:7" ht="19.899999999999999" customHeight="1">
      <c r="A3183" s="505"/>
      <c r="B3183" s="466"/>
      <c r="C3183" s="469"/>
      <c r="D3183" s="470"/>
      <c r="E3183" s="471">
        <f t="shared" si="1008"/>
        <v>0</v>
      </c>
      <c r="F3183" s="472">
        <f t="shared" si="1009"/>
        <v>0</v>
      </c>
      <c r="G3183" s="472">
        <f t="shared" si="1010"/>
        <v>0</v>
      </c>
    </row>
    <row r="3184" spans="1:7" ht="19.899999999999999" customHeight="1">
      <c r="A3184" s="505"/>
      <c r="B3184" s="466"/>
      <c r="C3184" s="469"/>
      <c r="D3184" s="470"/>
      <c r="E3184" s="471">
        <f t="shared" si="1008"/>
        <v>0</v>
      </c>
      <c r="F3184" s="472">
        <f t="shared" si="1009"/>
        <v>0</v>
      </c>
      <c r="G3184" s="472">
        <f t="shared" si="1010"/>
        <v>0</v>
      </c>
    </row>
    <row r="3185" spans="1:7" ht="19.899999999999999" customHeight="1">
      <c r="A3185" s="505"/>
      <c r="B3185" s="466"/>
      <c r="C3185" s="469"/>
      <c r="D3185" s="470"/>
      <c r="E3185" s="471">
        <f t="shared" si="1008"/>
        <v>0</v>
      </c>
      <c r="F3185" s="472">
        <f t="shared" si="1009"/>
        <v>0</v>
      </c>
      <c r="G3185" s="472">
        <f t="shared" si="1010"/>
        <v>0</v>
      </c>
    </row>
    <row r="3186" spans="1:7" ht="19.899999999999999" customHeight="1">
      <c r="A3186" s="505"/>
      <c r="B3186" s="466"/>
      <c r="C3186" s="163"/>
      <c r="D3186" s="163"/>
      <c r="E3186" s="473"/>
      <c r="F3186" s="458"/>
      <c r="G3186" s="507"/>
    </row>
    <row r="3187" spans="1:7" ht="19.899999999999999" customHeight="1">
      <c r="A3187" s="505"/>
      <c r="B3187" s="163"/>
      <c r="C3187" s="455" t="s">
        <v>1003</v>
      </c>
      <c r="D3187" s="458" t="s">
        <v>1000</v>
      </c>
      <c r="E3187" s="524">
        <f>SUMPRODUCT(D3176:D3185,E3176:E3185)</f>
        <v>0</v>
      </c>
      <c r="F3187" s="458" t="s">
        <v>1004</v>
      </c>
      <c r="G3187" s="525">
        <f>SUM(G3176:G3185)</f>
        <v>0</v>
      </c>
    </row>
    <row r="3188" spans="1:7" ht="19.899999999999999" customHeight="1">
      <c r="A3188" s="505"/>
      <c r="B3188" s="466"/>
      <c r="C3188" s="474"/>
      <c r="D3188" s="473"/>
      <c r="E3188" s="460"/>
      <c r="F3188" s="458"/>
      <c r="G3188" s="511"/>
    </row>
    <row r="3189" spans="1:7" ht="19.899999999999999" customHeight="1">
      <c r="A3189" s="512"/>
      <c r="B3189" s="466"/>
      <c r="C3189" s="458" t="s">
        <v>1005</v>
      </c>
      <c r="D3189" s="475"/>
      <c r="E3189" s="476" t="str">
        <f ca="1">G3171&amp;"/día"</f>
        <v>m3/día</v>
      </c>
      <c r="F3189" s="452"/>
      <c r="G3189" s="507"/>
    </row>
    <row r="3190" spans="1:7" ht="19.899999999999999" customHeight="1">
      <c r="A3190" s="505"/>
      <c r="B3190" s="466"/>
      <c r="C3190" s="163"/>
      <c r="D3190" s="459"/>
      <c r="E3190" s="460"/>
      <c r="F3190" s="458"/>
      <c r="G3190" s="507"/>
    </row>
    <row r="3191" spans="1:7" ht="19.899999999999999" customHeight="1">
      <c r="A3191" s="677" t="s">
        <v>575</v>
      </c>
      <c r="B3191" s="678"/>
      <c r="C3191" s="679" t="s">
        <v>0</v>
      </c>
      <c r="D3191" s="691" t="s">
        <v>1864</v>
      </c>
      <c r="E3191" s="691" t="s">
        <v>1863</v>
      </c>
      <c r="F3191" s="683" t="s">
        <v>1006</v>
      </c>
      <c r="G3191" s="685" t="s">
        <v>25</v>
      </c>
    </row>
    <row r="3192" spans="1:7" ht="19.899999999999999" customHeight="1">
      <c r="A3192" s="477" t="s">
        <v>576</v>
      </c>
      <c r="B3192" s="477" t="s">
        <v>577</v>
      </c>
      <c r="C3192" s="680"/>
      <c r="D3192" s="692"/>
      <c r="E3192" s="682"/>
      <c r="F3192" s="684"/>
      <c r="G3192" s="686"/>
    </row>
    <row r="3193" spans="1:7" ht="19.899999999999999" customHeight="1">
      <c r="A3193" s="513"/>
      <c r="B3193" s="163"/>
      <c r="C3193" s="455" t="s">
        <v>1007</v>
      </c>
      <c r="D3193" s="460"/>
      <c r="E3193" s="460"/>
      <c r="F3193" s="163"/>
      <c r="G3193" s="514"/>
    </row>
    <row r="3194" spans="1:7" ht="19.899999999999999" customHeight="1">
      <c r="A3194" s="515">
        <f t="shared" ref="A3194:A3202" si="1011">IFERROR(VLOOKUP(C3194,T_Insumos,4,FALSE),0)</f>
        <v>0</v>
      </c>
      <c r="B3194" s="478">
        <f t="shared" ref="B3194:B3202" si="1012">IFERROR(VLOOKUP(C3194,T_Insumos,5,FALSE),0)</f>
        <v>0</v>
      </c>
      <c r="C3194" s="469"/>
      <c r="D3194" s="479">
        <f t="shared" ref="D3194:D3202" si="1013">IFERROR(VLOOKUP(C3194,T_Insumos,3,FALSE),0)</f>
        <v>0</v>
      </c>
      <c r="E3194" s="472">
        <f>D3194*$G$23</f>
        <v>0</v>
      </c>
      <c r="F3194" s="475">
        <f>IF(C3194="",0,IFERROR(VLOOKUP(COUNTIF($A$1:A3194,"ANALISIS DE PRECIOS"),T_Rendimiento_Equipo,5,FALSE),0))</f>
        <v>0</v>
      </c>
      <c r="G3194" s="472">
        <f>IFERROR(ROUND(E3194/F3194,2),0)</f>
        <v>0</v>
      </c>
    </row>
    <row r="3195" spans="1:7" ht="19.899999999999999" customHeight="1">
      <c r="A3195" s="515">
        <f t="shared" si="1011"/>
        <v>0</v>
      </c>
      <c r="B3195" s="478">
        <f t="shared" si="1012"/>
        <v>0</v>
      </c>
      <c r="C3195" s="469"/>
      <c r="D3195" s="479">
        <f t="shared" si="1013"/>
        <v>0</v>
      </c>
      <c r="E3195" s="472">
        <f t="shared" ref="E3195:E3202" si="1014">D3195*$G$23</f>
        <v>0</v>
      </c>
      <c r="F3195" s="475">
        <f>IF(C3195="",0,IFERROR(VLOOKUP(COUNTIF($A$1:A3195,"ANALISIS DE PRECIOS"),T_Rendimiento_Equipo,5,FALSE),0))</f>
        <v>0</v>
      </c>
      <c r="G3195" s="472">
        <f t="shared" ref="G3195:G3202" si="1015">IFERROR(ROUND(E3195/F3195,2),0)</f>
        <v>0</v>
      </c>
    </row>
    <row r="3196" spans="1:7" ht="19.899999999999999" customHeight="1">
      <c r="A3196" s="515">
        <f t="shared" si="1011"/>
        <v>0</v>
      </c>
      <c r="B3196" s="478">
        <f t="shared" si="1012"/>
        <v>0</v>
      </c>
      <c r="C3196" s="480"/>
      <c r="D3196" s="479">
        <f t="shared" si="1013"/>
        <v>0</v>
      </c>
      <c r="E3196" s="472">
        <f t="shared" si="1014"/>
        <v>0</v>
      </c>
      <c r="F3196" s="475">
        <f>IF(C3196="",0,IFERROR(VLOOKUP(COUNTIF($A$1:A3196,"ANALISIS DE PRECIOS"),T_Rendimiento_Equipo,5,FALSE),0))</f>
        <v>0</v>
      </c>
      <c r="G3196" s="472">
        <f t="shared" si="1015"/>
        <v>0</v>
      </c>
    </row>
    <row r="3197" spans="1:7" ht="19.899999999999999" customHeight="1">
      <c r="A3197" s="515">
        <f t="shared" si="1011"/>
        <v>0</v>
      </c>
      <c r="B3197" s="478">
        <f t="shared" si="1012"/>
        <v>0</v>
      </c>
      <c r="C3197" s="480"/>
      <c r="D3197" s="479">
        <f t="shared" si="1013"/>
        <v>0</v>
      </c>
      <c r="E3197" s="472">
        <f t="shared" si="1014"/>
        <v>0</v>
      </c>
      <c r="F3197" s="475">
        <f>IF(C3197="",0,IFERROR(VLOOKUP(COUNTIF($A$1:A3197,"ANALISIS DE PRECIOS"),T_Rendimiento_Equipo,5,FALSE),0))</f>
        <v>0</v>
      </c>
      <c r="G3197" s="472">
        <f t="shared" si="1015"/>
        <v>0</v>
      </c>
    </row>
    <row r="3198" spans="1:7" ht="19.899999999999999" customHeight="1">
      <c r="A3198" s="515">
        <f t="shared" si="1011"/>
        <v>0</v>
      </c>
      <c r="B3198" s="478">
        <f t="shared" si="1012"/>
        <v>0</v>
      </c>
      <c r="C3198" s="480"/>
      <c r="D3198" s="479">
        <f t="shared" si="1013"/>
        <v>0</v>
      </c>
      <c r="E3198" s="472">
        <f t="shared" si="1014"/>
        <v>0</v>
      </c>
      <c r="F3198" s="475">
        <f>IF(C3198="",0,IFERROR(VLOOKUP(COUNTIF($A$1:A3198,"ANALISIS DE PRECIOS"),T_Rendimiento_Equipo,5,FALSE),0))</f>
        <v>0</v>
      </c>
      <c r="G3198" s="472">
        <f t="shared" si="1015"/>
        <v>0</v>
      </c>
    </row>
    <row r="3199" spans="1:7" ht="19.899999999999999" customHeight="1">
      <c r="A3199" s="515">
        <f t="shared" si="1011"/>
        <v>0</v>
      </c>
      <c r="B3199" s="478">
        <f t="shared" si="1012"/>
        <v>0</v>
      </c>
      <c r="C3199" s="480"/>
      <c r="D3199" s="479">
        <f t="shared" si="1013"/>
        <v>0</v>
      </c>
      <c r="E3199" s="472">
        <f t="shared" si="1014"/>
        <v>0</v>
      </c>
      <c r="F3199" s="475">
        <f>IF(C3199="",0,IFERROR(VLOOKUP(COUNTIF($A$1:A3199,"ANALISIS DE PRECIOS"),T_Rendimiento_Equipo,5,FALSE),0))</f>
        <v>0</v>
      </c>
      <c r="G3199" s="472">
        <f t="shared" si="1015"/>
        <v>0</v>
      </c>
    </row>
    <row r="3200" spans="1:7" ht="19.899999999999999" customHeight="1">
      <c r="A3200" s="515">
        <f t="shared" si="1011"/>
        <v>0</v>
      </c>
      <c r="B3200" s="478">
        <f t="shared" si="1012"/>
        <v>0</v>
      </c>
      <c r="C3200" s="480"/>
      <c r="D3200" s="479">
        <f t="shared" si="1013"/>
        <v>0</v>
      </c>
      <c r="E3200" s="472">
        <f t="shared" si="1014"/>
        <v>0</v>
      </c>
      <c r="F3200" s="475">
        <f>IF(C3200="",0,IFERROR(VLOOKUP(COUNTIF($A$1:A3200,"ANALISIS DE PRECIOS"),T_Rendimiento_Equipo,5,FALSE),0))</f>
        <v>0</v>
      </c>
      <c r="G3200" s="472">
        <f t="shared" si="1015"/>
        <v>0</v>
      </c>
    </row>
    <row r="3201" spans="1:7" ht="19.899999999999999" customHeight="1">
      <c r="A3201" s="515">
        <f t="shared" si="1011"/>
        <v>0</v>
      </c>
      <c r="B3201" s="478">
        <f t="shared" si="1012"/>
        <v>0</v>
      </c>
      <c r="C3201" s="480"/>
      <c r="D3201" s="479">
        <f t="shared" si="1013"/>
        <v>0</v>
      </c>
      <c r="E3201" s="472">
        <f t="shared" si="1014"/>
        <v>0</v>
      </c>
      <c r="F3201" s="475">
        <f>IF(C3201="",0,IFERROR(VLOOKUP(COUNTIF($A$1:A3201,"ANALISIS DE PRECIOS"),T_Rendimiento_Equipo,5,FALSE),0))</f>
        <v>0</v>
      </c>
      <c r="G3201" s="472">
        <f t="shared" si="1015"/>
        <v>0</v>
      </c>
    </row>
    <row r="3202" spans="1:7" ht="19.899999999999999" customHeight="1">
      <c r="A3202" s="515">
        <f t="shared" si="1011"/>
        <v>0</v>
      </c>
      <c r="B3202" s="478">
        <f t="shared" si="1012"/>
        <v>0</v>
      </c>
      <c r="C3202" s="469"/>
      <c r="D3202" s="479">
        <f t="shared" si="1013"/>
        <v>0</v>
      </c>
      <c r="E3202" s="472">
        <f t="shared" si="1014"/>
        <v>0</v>
      </c>
      <c r="F3202" s="475">
        <f>IF(C3202="",0,IFERROR(VLOOKUP(COUNTIF($A$1:A3202,"ANALISIS DE PRECIOS"),T_Rendimiento_Equipo,5,FALSE),0))</f>
        <v>0</v>
      </c>
      <c r="G3202" s="472">
        <f t="shared" si="1015"/>
        <v>0</v>
      </c>
    </row>
    <row r="3203" spans="1:7" ht="19.899999999999999" customHeight="1">
      <c r="A3203" s="516"/>
      <c r="B3203" s="459"/>
      <c r="C3203" s="163"/>
      <c r="D3203" s="459"/>
      <c r="E3203" s="460"/>
      <c r="F3203" s="650" t="s">
        <v>26</v>
      </c>
      <c r="G3203" s="517">
        <f>SUBTOTAL(9,G3194:G3202)</f>
        <v>0</v>
      </c>
    </row>
    <row r="3204" spans="1:7" ht="19.899999999999999" customHeight="1">
      <c r="A3204" s="513"/>
      <c r="B3204" s="163"/>
      <c r="C3204" s="455" t="s">
        <v>712</v>
      </c>
      <c r="D3204" s="459"/>
      <c r="E3204" s="460"/>
      <c r="F3204" s="461"/>
      <c r="G3204" s="514"/>
    </row>
    <row r="3205" spans="1:7" ht="19.899999999999999" customHeight="1">
      <c r="A3205" s="677" t="s">
        <v>575</v>
      </c>
      <c r="B3205" s="678"/>
      <c r="C3205" s="679" t="s">
        <v>0</v>
      </c>
      <c r="D3205" s="681" t="s">
        <v>23</v>
      </c>
      <c r="E3205" s="681" t="s">
        <v>1830</v>
      </c>
      <c r="F3205" s="683" t="s">
        <v>1006</v>
      </c>
      <c r="G3205" s="685" t="s">
        <v>25</v>
      </c>
    </row>
    <row r="3206" spans="1:7" ht="19.899999999999999" customHeight="1">
      <c r="A3206" s="477" t="s">
        <v>576</v>
      </c>
      <c r="B3206" s="477" t="s">
        <v>577</v>
      </c>
      <c r="C3206" s="680"/>
      <c r="D3206" s="682"/>
      <c r="E3206" s="682"/>
      <c r="F3206" s="684"/>
      <c r="G3206" s="686"/>
    </row>
    <row r="3207" spans="1:7" ht="19.899999999999999" customHeight="1">
      <c r="A3207" s="515">
        <f t="shared" ref="A3207:A3213" si="1016">IFERROR(VLOOKUP(C3207,T_Insumos,4,FALSE),0)</f>
        <v>0</v>
      </c>
      <c r="B3207" s="478">
        <f t="shared" ref="B3207:B3213" si="1017">IFERROR(VLOOKUP(C3207,T_Insumos,5,FALSE),0)</f>
        <v>0</v>
      </c>
      <c r="C3207" s="482"/>
      <c r="D3207" s="475"/>
      <c r="E3207" s="472">
        <f t="shared" ref="E3207:E3213" si="1018">IFERROR(VLOOKUP(C3207,T_Insumos,3,FALSE),0)</f>
        <v>0</v>
      </c>
      <c r="F3207" s="475">
        <f>IF(C3207="",0,IFERROR(VLOOKUP(COUNTIF($A$1:A3207,"ANALISIS DE PRECIOS"),T_Rendimiento_Equipo,5,FALSE),0))</f>
        <v>0</v>
      </c>
      <c r="G3207" s="472">
        <f>IFERROR(ROUND(D3207*E3207/F3207,2),0)</f>
        <v>0</v>
      </c>
    </row>
    <row r="3208" spans="1:7" ht="19.899999999999999" customHeight="1">
      <c r="A3208" s="515">
        <f t="shared" si="1016"/>
        <v>0</v>
      </c>
      <c r="B3208" s="478">
        <f t="shared" si="1017"/>
        <v>0</v>
      </c>
      <c r="C3208" s="469"/>
      <c r="D3208" s="475"/>
      <c r="E3208" s="472">
        <f t="shared" si="1018"/>
        <v>0</v>
      </c>
      <c r="F3208" s="475">
        <f>IF(C3208="",0,IFERROR(VLOOKUP(COUNTIF($A$1:A3208,"ANALISIS DE PRECIOS"),T_Rendimiento_Equipo,5,FALSE),0))</f>
        <v>0</v>
      </c>
      <c r="G3208" s="472">
        <f t="shared" ref="G3208:G3213" si="1019">IFERROR(ROUND(D3208*E3208/F3208,2),0)</f>
        <v>0</v>
      </c>
    </row>
    <row r="3209" spans="1:7" ht="19.899999999999999" customHeight="1">
      <c r="A3209" s="515">
        <f t="shared" si="1016"/>
        <v>0</v>
      </c>
      <c r="B3209" s="478">
        <f t="shared" si="1017"/>
        <v>0</v>
      </c>
      <c r="C3209" s="469"/>
      <c r="D3209" s="475"/>
      <c r="E3209" s="472">
        <f t="shared" si="1018"/>
        <v>0</v>
      </c>
      <c r="F3209" s="475">
        <f>IF(C3209="",0,IFERROR(VLOOKUP(COUNTIF($A$1:A3209,"ANALISIS DE PRECIOS"),T_Rendimiento_Equipo,5,FALSE),0))</f>
        <v>0</v>
      </c>
      <c r="G3209" s="472">
        <f t="shared" si="1019"/>
        <v>0</v>
      </c>
    </row>
    <row r="3210" spans="1:7" ht="19.899999999999999" customHeight="1">
      <c r="A3210" s="515">
        <f t="shared" si="1016"/>
        <v>0</v>
      </c>
      <c r="B3210" s="478">
        <f t="shared" si="1017"/>
        <v>0</v>
      </c>
      <c r="C3210" s="469"/>
      <c r="D3210" s="475"/>
      <c r="E3210" s="472">
        <f t="shared" si="1018"/>
        <v>0</v>
      </c>
      <c r="F3210" s="475">
        <f>IF(C3210="",0,IFERROR(VLOOKUP(COUNTIF($A$1:A3210,"ANALISIS DE PRECIOS"),T_Rendimiento_Equipo,5,FALSE),0))</f>
        <v>0</v>
      </c>
      <c r="G3210" s="472">
        <f t="shared" si="1019"/>
        <v>0</v>
      </c>
    </row>
    <row r="3211" spans="1:7" ht="19.899999999999999" customHeight="1">
      <c r="A3211" s="515">
        <f t="shared" si="1016"/>
        <v>0</v>
      </c>
      <c r="B3211" s="478">
        <f t="shared" si="1017"/>
        <v>0</v>
      </c>
      <c r="C3211" s="469"/>
      <c r="D3211" s="475"/>
      <c r="E3211" s="472">
        <f t="shared" si="1018"/>
        <v>0</v>
      </c>
      <c r="F3211" s="475">
        <f>IF(C3211="",0,IFERROR(VLOOKUP(COUNTIF($A$1:A3211,"ANALISIS DE PRECIOS"),T_Rendimiento_Equipo,5,FALSE),0))</f>
        <v>0</v>
      </c>
      <c r="G3211" s="472">
        <f t="shared" si="1019"/>
        <v>0</v>
      </c>
    </row>
    <row r="3212" spans="1:7" ht="19.899999999999999" customHeight="1">
      <c r="A3212" s="515">
        <f t="shared" si="1016"/>
        <v>0</v>
      </c>
      <c r="B3212" s="478">
        <f t="shared" si="1017"/>
        <v>0</v>
      </c>
      <c r="C3212" s="469"/>
      <c r="D3212" s="483"/>
      <c r="E3212" s="472">
        <f t="shared" si="1018"/>
        <v>0</v>
      </c>
      <c r="F3212" s="475">
        <f>IF(C3212="",0,IFERROR(VLOOKUP(COUNTIF($A$1:A3212,"ANALISIS DE PRECIOS"),T_Rendimiento_Equipo,5,FALSE),0))</f>
        <v>0</v>
      </c>
      <c r="G3212" s="472">
        <f t="shared" si="1019"/>
        <v>0</v>
      </c>
    </row>
    <row r="3213" spans="1:7" ht="19.899999999999999" customHeight="1">
      <c r="A3213" s="515">
        <f t="shared" si="1016"/>
        <v>0</v>
      </c>
      <c r="B3213" s="478">
        <f t="shared" si="1017"/>
        <v>0</v>
      </c>
      <c r="C3213" s="478"/>
      <c r="D3213" s="484"/>
      <c r="E3213" s="472">
        <f t="shared" si="1018"/>
        <v>0</v>
      </c>
      <c r="F3213" s="475">
        <f>IF(C3213="",0,IFERROR(VLOOKUP(COUNTIF($A$1:A3213,"ANALISIS DE PRECIOS"),T_Rendimiento_Equipo,5,FALSE),0))</f>
        <v>0</v>
      </c>
      <c r="G3213" s="472">
        <f t="shared" si="1019"/>
        <v>0</v>
      </c>
    </row>
    <row r="3214" spans="1:7" ht="19.899999999999999" customHeight="1">
      <c r="A3214" s="516"/>
      <c r="B3214" s="459"/>
      <c r="C3214" s="163"/>
      <c r="D3214" s="459"/>
      <c r="E3214" s="460"/>
      <c r="F3214" s="650" t="s">
        <v>27</v>
      </c>
      <c r="G3214" s="518">
        <f>SUBTOTAL(9,G3207:G3213)</f>
        <v>0</v>
      </c>
    </row>
    <row r="3215" spans="1:7" ht="19.899999999999999" customHeight="1">
      <c r="A3215" s="513"/>
      <c r="B3215" s="163"/>
      <c r="C3215" s="455" t="s">
        <v>1013</v>
      </c>
      <c r="D3215" s="459"/>
      <c r="E3215" s="460"/>
      <c r="F3215" s="461"/>
      <c r="G3215" s="514"/>
    </row>
    <row r="3216" spans="1:7" ht="19.899999999999999" customHeight="1">
      <c r="A3216" s="677" t="s">
        <v>575</v>
      </c>
      <c r="B3216" s="678"/>
      <c r="C3216" s="679" t="s">
        <v>0</v>
      </c>
      <c r="D3216" s="679" t="s">
        <v>1865</v>
      </c>
      <c r="E3216" s="681" t="s">
        <v>23</v>
      </c>
      <c r="F3216" s="683" t="s">
        <v>24</v>
      </c>
      <c r="G3216" s="685" t="s">
        <v>25</v>
      </c>
    </row>
    <row r="3217" spans="1:7" ht="19.899999999999999" customHeight="1">
      <c r="A3217" s="477" t="s">
        <v>576</v>
      </c>
      <c r="B3217" s="477" t="s">
        <v>577</v>
      </c>
      <c r="C3217" s="680"/>
      <c r="D3217" s="680"/>
      <c r="E3217" s="682"/>
      <c r="F3217" s="684"/>
      <c r="G3217" s="686"/>
    </row>
    <row r="3218" spans="1:7" ht="19.899999999999999" customHeight="1">
      <c r="A3218" s="515">
        <f t="shared" ref="A3218:A3228" si="1020">IFERROR(VLOOKUP(C3218,T_Insumos,4,FALSE),0)</f>
        <v>0</v>
      </c>
      <c r="B3218" s="478">
        <f t="shared" ref="B3218:B3228" si="1021">IFERROR(VLOOKUP(C3218,T_Insumos,5,FALSE),0)</f>
        <v>0</v>
      </c>
      <c r="C3218" s="478"/>
      <c r="D3218" s="526">
        <f t="shared" ref="D3218:D3228" si="1022">IFERROR(VLOOKUP(C3218,T_Insumos,2,FALSE),0)</f>
        <v>0</v>
      </c>
      <c r="E3218" s="470"/>
      <c r="F3218" s="472">
        <f t="shared" ref="F3218:F3228" si="1023">IFERROR(VLOOKUP(C3218,T_Insumos,3,FALSE),0)</f>
        <v>0</v>
      </c>
      <c r="G3218" s="472">
        <f>ROUND(E3218*F3218,2)</f>
        <v>0</v>
      </c>
    </row>
    <row r="3219" spans="1:7" ht="19.899999999999999" customHeight="1">
      <c r="A3219" s="515">
        <f t="shared" si="1020"/>
        <v>0</v>
      </c>
      <c r="B3219" s="478">
        <f t="shared" si="1021"/>
        <v>0</v>
      </c>
      <c r="C3219" s="478"/>
      <c r="D3219" s="526">
        <f t="shared" si="1022"/>
        <v>0</v>
      </c>
      <c r="E3219" s="470"/>
      <c r="F3219" s="472">
        <f t="shared" si="1023"/>
        <v>0</v>
      </c>
      <c r="G3219" s="472">
        <f t="shared" ref="G3219:G3228" si="1024">ROUND(E3219*F3219,2)</f>
        <v>0</v>
      </c>
    </row>
    <row r="3220" spans="1:7" ht="19.899999999999999" customHeight="1">
      <c r="A3220" s="515">
        <f t="shared" si="1020"/>
        <v>0</v>
      </c>
      <c r="B3220" s="478">
        <f t="shared" si="1021"/>
        <v>0</v>
      </c>
      <c r="C3220" s="478"/>
      <c r="D3220" s="526">
        <f t="shared" si="1022"/>
        <v>0</v>
      </c>
      <c r="E3220" s="470"/>
      <c r="F3220" s="472">
        <f t="shared" si="1023"/>
        <v>0</v>
      </c>
      <c r="G3220" s="472">
        <f t="shared" si="1024"/>
        <v>0</v>
      </c>
    </row>
    <row r="3221" spans="1:7" ht="19.899999999999999" customHeight="1">
      <c r="A3221" s="515">
        <f t="shared" si="1020"/>
        <v>0</v>
      </c>
      <c r="B3221" s="478">
        <f t="shared" si="1021"/>
        <v>0</v>
      </c>
      <c r="C3221" s="478"/>
      <c r="D3221" s="526">
        <f t="shared" si="1022"/>
        <v>0</v>
      </c>
      <c r="E3221" s="470"/>
      <c r="F3221" s="472">
        <f t="shared" si="1023"/>
        <v>0</v>
      </c>
      <c r="G3221" s="472">
        <f t="shared" si="1024"/>
        <v>0</v>
      </c>
    </row>
    <row r="3222" spans="1:7" ht="19.899999999999999" customHeight="1">
      <c r="A3222" s="515">
        <f t="shared" si="1020"/>
        <v>0</v>
      </c>
      <c r="B3222" s="478">
        <f t="shared" si="1021"/>
        <v>0</v>
      </c>
      <c r="C3222" s="478"/>
      <c r="D3222" s="526">
        <f t="shared" si="1022"/>
        <v>0</v>
      </c>
      <c r="E3222" s="470"/>
      <c r="F3222" s="472">
        <f t="shared" si="1023"/>
        <v>0</v>
      </c>
      <c r="G3222" s="472">
        <f t="shared" si="1024"/>
        <v>0</v>
      </c>
    </row>
    <row r="3223" spans="1:7" ht="19.899999999999999" customHeight="1">
      <c r="A3223" s="515">
        <f t="shared" si="1020"/>
        <v>0</v>
      </c>
      <c r="B3223" s="478">
        <f t="shared" si="1021"/>
        <v>0</v>
      </c>
      <c r="C3223" s="478"/>
      <c r="D3223" s="526">
        <f t="shared" si="1022"/>
        <v>0</v>
      </c>
      <c r="E3223" s="470"/>
      <c r="F3223" s="472">
        <f t="shared" si="1023"/>
        <v>0</v>
      </c>
      <c r="G3223" s="472">
        <f t="shared" si="1024"/>
        <v>0</v>
      </c>
    </row>
    <row r="3224" spans="1:7" ht="19.899999999999999" customHeight="1">
      <c r="A3224" s="515">
        <f t="shared" si="1020"/>
        <v>0</v>
      </c>
      <c r="B3224" s="478">
        <f t="shared" si="1021"/>
        <v>0</v>
      </c>
      <c r="C3224" s="478"/>
      <c r="D3224" s="526">
        <f t="shared" si="1022"/>
        <v>0</v>
      </c>
      <c r="E3224" s="470"/>
      <c r="F3224" s="472">
        <f t="shared" si="1023"/>
        <v>0</v>
      </c>
      <c r="G3224" s="472">
        <f t="shared" si="1024"/>
        <v>0</v>
      </c>
    </row>
    <row r="3225" spans="1:7" ht="19.899999999999999" customHeight="1">
      <c r="A3225" s="515">
        <f t="shared" si="1020"/>
        <v>0</v>
      </c>
      <c r="B3225" s="478">
        <f t="shared" si="1021"/>
        <v>0</v>
      </c>
      <c r="C3225" s="478"/>
      <c r="D3225" s="526">
        <f t="shared" si="1022"/>
        <v>0</v>
      </c>
      <c r="E3225" s="470"/>
      <c r="F3225" s="472">
        <f t="shared" si="1023"/>
        <v>0</v>
      </c>
      <c r="G3225" s="472">
        <f t="shared" si="1024"/>
        <v>0</v>
      </c>
    </row>
    <row r="3226" spans="1:7" ht="19.899999999999999" customHeight="1">
      <c r="A3226" s="515">
        <f t="shared" si="1020"/>
        <v>0</v>
      </c>
      <c r="B3226" s="478">
        <f t="shared" si="1021"/>
        <v>0</v>
      </c>
      <c r="C3226" s="478"/>
      <c r="D3226" s="526">
        <f t="shared" si="1022"/>
        <v>0</v>
      </c>
      <c r="E3226" s="470"/>
      <c r="F3226" s="472">
        <f t="shared" si="1023"/>
        <v>0</v>
      </c>
      <c r="G3226" s="472">
        <f t="shared" si="1024"/>
        <v>0</v>
      </c>
    </row>
    <row r="3227" spans="1:7" ht="19.899999999999999" customHeight="1">
      <c r="A3227" s="515">
        <f t="shared" si="1020"/>
        <v>0</v>
      </c>
      <c r="B3227" s="478">
        <f t="shared" si="1021"/>
        <v>0</v>
      </c>
      <c r="C3227" s="478"/>
      <c r="D3227" s="526">
        <f t="shared" si="1022"/>
        <v>0</v>
      </c>
      <c r="E3227" s="470"/>
      <c r="F3227" s="472">
        <f t="shared" si="1023"/>
        <v>0</v>
      </c>
      <c r="G3227" s="472">
        <f t="shared" si="1024"/>
        <v>0</v>
      </c>
    </row>
    <row r="3228" spans="1:7" ht="19.899999999999999" customHeight="1">
      <c r="A3228" s="515">
        <f t="shared" si="1020"/>
        <v>0</v>
      </c>
      <c r="B3228" s="478">
        <f t="shared" si="1021"/>
        <v>0</v>
      </c>
      <c r="C3228" s="478"/>
      <c r="D3228" s="526">
        <f t="shared" si="1022"/>
        <v>0</v>
      </c>
      <c r="E3228" s="470"/>
      <c r="F3228" s="472">
        <f t="shared" si="1023"/>
        <v>0</v>
      </c>
      <c r="G3228" s="472">
        <f t="shared" si="1024"/>
        <v>0</v>
      </c>
    </row>
    <row r="3229" spans="1:7" ht="19.899999999999999" customHeight="1">
      <c r="A3229" s="513"/>
      <c r="B3229" s="163"/>
      <c r="C3229" s="163"/>
      <c r="D3229" s="459"/>
      <c r="E3229" s="460"/>
      <c r="F3229" s="650" t="s">
        <v>28</v>
      </c>
      <c r="G3229" s="518">
        <f>SUBTOTAL(9,G3218:G3228)</f>
        <v>0</v>
      </c>
    </row>
    <row r="3230" spans="1:7" ht="19.899999999999999" customHeight="1">
      <c r="A3230" s="513"/>
      <c r="B3230" s="163"/>
      <c r="C3230" s="455" t="s">
        <v>1014</v>
      </c>
      <c r="D3230" s="459"/>
      <c r="E3230" s="460"/>
      <c r="F3230" s="461"/>
      <c r="G3230" s="514"/>
    </row>
    <row r="3231" spans="1:7" ht="19.899999999999999" customHeight="1">
      <c r="A3231" s="677" t="s">
        <v>575</v>
      </c>
      <c r="B3231" s="678"/>
      <c r="C3231" s="679" t="s">
        <v>0</v>
      </c>
      <c r="D3231" s="679" t="s">
        <v>1865</v>
      </c>
      <c r="E3231" s="681" t="s">
        <v>23</v>
      </c>
      <c r="F3231" s="683" t="s">
        <v>24</v>
      </c>
      <c r="G3231" s="685" t="s">
        <v>25</v>
      </c>
    </row>
    <row r="3232" spans="1:7" ht="19.899999999999999" customHeight="1">
      <c r="A3232" s="477" t="s">
        <v>576</v>
      </c>
      <c r="B3232" s="477" t="s">
        <v>577</v>
      </c>
      <c r="C3232" s="680"/>
      <c r="D3232" s="680"/>
      <c r="E3232" s="682"/>
      <c r="F3232" s="684"/>
      <c r="G3232" s="686"/>
    </row>
    <row r="3233" spans="1:7" ht="19.899999999999999" customHeight="1">
      <c r="A3233" s="515">
        <f>IFERROR(VLOOKUP(C3233,T_Insumos,4,FALSE),0)</f>
        <v>0</v>
      </c>
      <c r="B3233" s="478">
        <f>IFERROR(VLOOKUP(C3233,T_Insumos,5,FALSE),0)</f>
        <v>0</v>
      </c>
      <c r="C3233" s="469"/>
      <c r="D3233" s="526">
        <f>IF(C3233=0,0,"$/tnkm")</f>
        <v>0</v>
      </c>
      <c r="E3233" s="470"/>
      <c r="F3233" s="472">
        <f>IFERROR(VLOOKUP(C3233,T_Insumos,3,FALSE),0)</f>
        <v>0</v>
      </c>
      <c r="G3233" s="472">
        <f>ROUND(E3233*F3233,2)</f>
        <v>0</v>
      </c>
    </row>
    <row r="3234" spans="1:7" ht="19.899999999999999" customHeight="1">
      <c r="A3234" s="515">
        <f>IFERROR(VLOOKUP(C3234,T_Insumos,4,FALSE),0)</f>
        <v>0</v>
      </c>
      <c r="B3234" s="478">
        <f>IFERROR(VLOOKUP(C3234,T_Insumos,5,FALSE),0)</f>
        <v>0</v>
      </c>
      <c r="C3234" s="469"/>
      <c r="D3234" s="526">
        <f>IF(C3234=0,0,"$/tnkm")</f>
        <v>0</v>
      </c>
      <c r="E3234" s="486"/>
      <c r="F3234" s="472">
        <f>IFERROR(VLOOKUP(C3234,T_Insumos,3,FALSE),0)</f>
        <v>0</v>
      </c>
      <c r="G3234" s="472">
        <f t="shared" ref="G3234" si="1025">ROUND(E3234*F3234,2)</f>
        <v>0</v>
      </c>
    </row>
    <row r="3235" spans="1:7" ht="19.899999999999999" customHeight="1">
      <c r="A3235" s="513"/>
      <c r="B3235" s="163"/>
      <c r="C3235" s="163"/>
      <c r="D3235" s="459"/>
      <c r="E3235" s="460"/>
      <c r="F3235" s="650" t="s">
        <v>1015</v>
      </c>
      <c r="G3235" s="518">
        <f>SUBTOTAL(9,G3233:G3234)</f>
        <v>0</v>
      </c>
    </row>
    <row r="3236" spans="1:7" ht="19.899999999999999" customHeight="1">
      <c r="A3236" s="516"/>
      <c r="B3236" s="459"/>
      <c r="C3236" s="163"/>
      <c r="D3236" s="459"/>
      <c r="E3236" s="460"/>
      <c r="F3236" s="461"/>
      <c r="G3236" s="514"/>
    </row>
    <row r="3237" spans="1:7" ht="19.899999999999999" customHeight="1">
      <c r="A3237" s="574" t="str">
        <f>B3171</f>
        <v>6.2.4</v>
      </c>
      <c r="B3237" s="571" t="str">
        <f ca="1">C3171</f>
        <v>Hormigon de limpleza</v>
      </c>
      <c r="C3237" s="459"/>
      <c r="D3237" s="459" t="s">
        <v>1831</v>
      </c>
      <c r="E3237" s="572"/>
      <c r="F3237" s="573" t="str">
        <f ca="1">"$/"&amp;G3171</f>
        <v>$/m3</v>
      </c>
      <c r="G3237" s="523">
        <f>SUBTOTAL(9,G3194:G3236)</f>
        <v>0</v>
      </c>
    </row>
    <row r="3238" spans="1:7" ht="19.899999999999999" customHeight="1">
      <c r="A3238" s="519"/>
      <c r="B3238" s="520"/>
      <c r="C3238" s="521"/>
      <c r="D3238" s="521" t="s">
        <v>2041</v>
      </c>
      <c r="E3238" s="522"/>
      <c r="F3238" s="575" t="str">
        <f ca="1">"$/"&amp;G3171</f>
        <v>$/m3</v>
      </c>
      <c r="G3238" s="523">
        <f>ROUND(G3237*Coeficiente_Paso,2)</f>
        <v>0</v>
      </c>
    </row>
    <row r="3239" spans="1:7" ht="19.899999999999999" customHeight="1">
      <c r="A3239" s="163"/>
      <c r="B3239" s="163"/>
      <c r="C3239" s="163"/>
      <c r="D3239" s="163"/>
      <c r="E3239" s="163"/>
      <c r="F3239" s="163"/>
      <c r="G3239" s="163"/>
    </row>
    <row r="3240" spans="1:7" ht="19.899999999999999" customHeight="1">
      <c r="A3240" s="687" t="s">
        <v>30</v>
      </c>
      <c r="B3240" s="688"/>
      <c r="C3240" s="688"/>
      <c r="D3240" s="688"/>
      <c r="E3240" s="688"/>
      <c r="F3240" s="688"/>
      <c r="G3240" s="689"/>
    </row>
    <row r="3241" spans="1:7" ht="19.899999999999999" customHeight="1">
      <c r="A3241" s="502" t="s">
        <v>710</v>
      </c>
      <c r="B3241" s="453" t="str">
        <f>Comitente</f>
        <v>DEPARTAMENTO DE HIDRAULICA</v>
      </c>
      <c r="C3241" s="454"/>
      <c r="D3241" s="455"/>
      <c r="E3241" s="455"/>
      <c r="F3241" s="456"/>
      <c r="G3241" s="503"/>
    </row>
    <row r="3242" spans="1:7" ht="19.899999999999999" customHeight="1">
      <c r="A3242" s="502" t="s">
        <v>711</v>
      </c>
      <c r="B3242" s="453">
        <f>Contratista</f>
        <v>0</v>
      </c>
      <c r="C3242" s="457"/>
      <c r="D3242" s="457"/>
      <c r="E3242" s="457"/>
      <c r="F3242" s="453"/>
      <c r="G3242" s="504"/>
    </row>
    <row r="3243" spans="1:7" ht="19.899999999999999" customHeight="1">
      <c r="A3243" s="502" t="s">
        <v>20</v>
      </c>
      <c r="B3243" s="453" t="str">
        <f>Obra</f>
        <v>MEJORA DE LA RED DE RIEGO DEL VALLE DE JÁCHAL</v>
      </c>
      <c r="C3243" s="457"/>
      <c r="D3243" s="457"/>
      <c r="E3243" s="457"/>
      <c r="F3243" s="453" t="s">
        <v>31</v>
      </c>
      <c r="G3243" s="504" t="str">
        <f>Fecha_Base</f>
        <v>XX/07/2020</v>
      </c>
    </row>
    <row r="3244" spans="1:7" ht="19.899999999999999" customHeight="1">
      <c r="A3244" s="505" t="s">
        <v>709</v>
      </c>
      <c r="B3244" s="458" t="str">
        <f>Ubicación</f>
        <v>JACHAL</v>
      </c>
      <c r="C3244" s="458"/>
      <c r="D3244" s="459"/>
      <c r="E3244" s="460"/>
      <c r="F3244" s="461"/>
      <c r="G3244" s="506"/>
    </row>
    <row r="3245" spans="1:7" ht="19.899999999999999" customHeight="1">
      <c r="A3245" s="505" t="s">
        <v>32</v>
      </c>
      <c r="B3245" s="462">
        <f>IFERROR(VALUE(LEFT(B3246,FIND(".",B3246)-1)),"")</f>
        <v>6</v>
      </c>
      <c r="C3245" s="163" t="str">
        <f ca="1">IFERROR(VLOOKUP(B3245,T_Computo_Presupuesto,2,FALSE),0)</f>
        <v>CANAL DEL NORTE</v>
      </c>
      <c r="D3245" s="163"/>
      <c r="E3245" s="460"/>
      <c r="F3245" s="461"/>
      <c r="G3245" s="506"/>
    </row>
    <row r="3246" spans="1:7" ht="19.899999999999999" customHeight="1">
      <c r="A3246" s="505" t="s">
        <v>21</v>
      </c>
      <c r="B3246" s="463" t="str">
        <f>IFERROR(VLOOKUP(COUNTIF($A$1:A3246,"ANALISIS DE PRECIOS"),T_NumeroItem,2,FALSE),"")</f>
        <v>6.2.5</v>
      </c>
      <c r="C3246" s="690" t="str">
        <f ca="1">IFERROR(VLOOKUP(B3246,T_Computo_Presupuesto,2,FALSE),0)</f>
        <v>Hormigon H20</v>
      </c>
      <c r="D3246" s="690"/>
      <c r="E3246" s="690"/>
      <c r="F3246" s="458" t="s">
        <v>22</v>
      </c>
      <c r="G3246" s="507" t="str">
        <f ca="1">IFERROR(VLOOKUP(B3246,T_Computo_Presupuesto,4,FALSE),0)</f>
        <v>m3</v>
      </c>
    </row>
    <row r="3247" spans="1:7" ht="19.899999999999999" customHeight="1">
      <c r="A3247" s="505"/>
      <c r="B3247" s="458"/>
      <c r="C3247" s="163"/>
      <c r="D3247" s="459"/>
      <c r="E3247" s="460"/>
      <c r="F3247" s="163"/>
      <c r="G3247" s="508"/>
    </row>
    <row r="3248" spans="1:7" ht="19.899999999999999" customHeight="1">
      <c r="A3248" s="509"/>
      <c r="B3248" s="464"/>
      <c r="C3248" s="465" t="s">
        <v>998</v>
      </c>
      <c r="D3248" s="464"/>
      <c r="E3248" s="464"/>
      <c r="F3248" s="464"/>
      <c r="G3248" s="510"/>
    </row>
    <row r="3249" spans="1:7" ht="19.899999999999999" customHeight="1">
      <c r="A3249" s="505"/>
      <c r="B3249" s="466"/>
      <c r="C3249" s="163"/>
      <c r="D3249" s="459"/>
      <c r="E3249" s="460"/>
      <c r="F3249" s="458"/>
      <c r="G3249" s="507"/>
    </row>
    <row r="3250" spans="1:7" ht="19.899999999999999" customHeight="1">
      <c r="A3250" s="505"/>
      <c r="B3250" s="466"/>
      <c r="C3250" s="467" t="s">
        <v>999</v>
      </c>
      <c r="D3250" s="468" t="s">
        <v>23</v>
      </c>
      <c r="E3250" s="468" t="s">
        <v>1000</v>
      </c>
      <c r="F3250" s="468" t="s">
        <v>1001</v>
      </c>
      <c r="G3250" s="467" t="s">
        <v>1002</v>
      </c>
    </row>
    <row r="3251" spans="1:7" ht="19.899999999999999" customHeight="1">
      <c r="A3251" s="505"/>
      <c r="B3251" s="466"/>
      <c r="C3251" s="469"/>
      <c r="D3251" s="470"/>
      <c r="E3251" s="471">
        <f t="shared" ref="E3251:E3260" si="1026">IFERROR(VLOOKUP(C3251,T_Equipos,4,FALSE),0)</f>
        <v>0</v>
      </c>
      <c r="F3251" s="472">
        <f t="shared" ref="F3251:F3260" si="1027">IFERROR(VLOOKUP(C3251,T_Equipos,5,FALSE),0)</f>
        <v>0</v>
      </c>
      <c r="G3251" s="472">
        <f>ROUND(D3251*F3251,2)</f>
        <v>0</v>
      </c>
    </row>
    <row r="3252" spans="1:7" ht="19.899999999999999" customHeight="1">
      <c r="A3252" s="505"/>
      <c r="B3252" s="466"/>
      <c r="C3252" s="469"/>
      <c r="D3252" s="470"/>
      <c r="E3252" s="471">
        <f t="shared" si="1026"/>
        <v>0</v>
      </c>
      <c r="F3252" s="472">
        <f t="shared" si="1027"/>
        <v>0</v>
      </c>
      <c r="G3252" s="472">
        <f>ROUND(D3252*F3252,2)</f>
        <v>0</v>
      </c>
    </row>
    <row r="3253" spans="1:7" ht="19.899999999999999" customHeight="1">
      <c r="A3253" s="505"/>
      <c r="B3253" s="466"/>
      <c r="C3253" s="469"/>
      <c r="D3253" s="470"/>
      <c r="E3253" s="471">
        <f t="shared" si="1026"/>
        <v>0</v>
      </c>
      <c r="F3253" s="472">
        <f t="shared" si="1027"/>
        <v>0</v>
      </c>
      <c r="G3253" s="472">
        <f>ROUND(D3253*F3253,2)</f>
        <v>0</v>
      </c>
    </row>
    <row r="3254" spans="1:7" ht="19.899999999999999" customHeight="1">
      <c r="A3254" s="505"/>
      <c r="B3254" s="466"/>
      <c r="C3254" s="469"/>
      <c r="D3254" s="470"/>
      <c r="E3254" s="471">
        <f t="shared" si="1026"/>
        <v>0</v>
      </c>
      <c r="F3254" s="472">
        <f t="shared" si="1027"/>
        <v>0</v>
      </c>
      <c r="G3254" s="472">
        <f>ROUND(D3254*F3254,2)</f>
        <v>0</v>
      </c>
    </row>
    <row r="3255" spans="1:7" ht="19.899999999999999" customHeight="1">
      <c r="A3255" s="505"/>
      <c r="B3255" s="466"/>
      <c r="C3255" s="469"/>
      <c r="D3255" s="470"/>
      <c r="E3255" s="471">
        <f t="shared" si="1026"/>
        <v>0</v>
      </c>
      <c r="F3255" s="472">
        <f t="shared" si="1027"/>
        <v>0</v>
      </c>
      <c r="G3255" s="472">
        <f t="shared" ref="G3255:G3260" si="1028">ROUND(D3255*F3255,2)</f>
        <v>0</v>
      </c>
    </row>
    <row r="3256" spans="1:7" ht="19.899999999999999" customHeight="1">
      <c r="A3256" s="505"/>
      <c r="B3256" s="466"/>
      <c r="C3256" s="469"/>
      <c r="D3256" s="470"/>
      <c r="E3256" s="471">
        <f t="shared" si="1026"/>
        <v>0</v>
      </c>
      <c r="F3256" s="472">
        <f t="shared" si="1027"/>
        <v>0</v>
      </c>
      <c r="G3256" s="472">
        <f t="shared" si="1028"/>
        <v>0</v>
      </c>
    </row>
    <row r="3257" spans="1:7" ht="19.899999999999999" customHeight="1">
      <c r="A3257" s="505"/>
      <c r="B3257" s="466"/>
      <c r="C3257" s="469"/>
      <c r="D3257" s="470"/>
      <c r="E3257" s="471">
        <f t="shared" si="1026"/>
        <v>0</v>
      </c>
      <c r="F3257" s="472">
        <f t="shared" si="1027"/>
        <v>0</v>
      </c>
      <c r="G3257" s="472">
        <f t="shared" si="1028"/>
        <v>0</v>
      </c>
    </row>
    <row r="3258" spans="1:7" ht="19.899999999999999" customHeight="1">
      <c r="A3258" s="505"/>
      <c r="B3258" s="466"/>
      <c r="C3258" s="469"/>
      <c r="D3258" s="470"/>
      <c r="E3258" s="471">
        <f t="shared" si="1026"/>
        <v>0</v>
      </c>
      <c r="F3258" s="472">
        <f t="shared" si="1027"/>
        <v>0</v>
      </c>
      <c r="G3258" s="472">
        <f t="shared" si="1028"/>
        <v>0</v>
      </c>
    </row>
    <row r="3259" spans="1:7" ht="19.899999999999999" customHeight="1">
      <c r="A3259" s="505"/>
      <c r="B3259" s="466"/>
      <c r="C3259" s="469"/>
      <c r="D3259" s="470"/>
      <c r="E3259" s="471">
        <f t="shared" si="1026"/>
        <v>0</v>
      </c>
      <c r="F3259" s="472">
        <f t="shared" si="1027"/>
        <v>0</v>
      </c>
      <c r="G3259" s="472">
        <f t="shared" si="1028"/>
        <v>0</v>
      </c>
    </row>
    <row r="3260" spans="1:7" ht="19.899999999999999" customHeight="1">
      <c r="A3260" s="505"/>
      <c r="B3260" s="466"/>
      <c r="C3260" s="469"/>
      <c r="D3260" s="470"/>
      <c r="E3260" s="471">
        <f t="shared" si="1026"/>
        <v>0</v>
      </c>
      <c r="F3260" s="472">
        <f t="shared" si="1027"/>
        <v>0</v>
      </c>
      <c r="G3260" s="472">
        <f t="shared" si="1028"/>
        <v>0</v>
      </c>
    </row>
    <row r="3261" spans="1:7" ht="19.899999999999999" customHeight="1">
      <c r="A3261" s="505"/>
      <c r="B3261" s="466"/>
      <c r="C3261" s="163"/>
      <c r="D3261" s="163"/>
      <c r="E3261" s="473"/>
      <c r="F3261" s="458"/>
      <c r="G3261" s="507"/>
    </row>
    <row r="3262" spans="1:7" ht="19.899999999999999" customHeight="1">
      <c r="A3262" s="505"/>
      <c r="B3262" s="163"/>
      <c r="C3262" s="455" t="s">
        <v>1003</v>
      </c>
      <c r="D3262" s="458" t="s">
        <v>1000</v>
      </c>
      <c r="E3262" s="524">
        <f>SUMPRODUCT(D3251:D3260,E3251:E3260)</f>
        <v>0</v>
      </c>
      <c r="F3262" s="458" t="s">
        <v>1004</v>
      </c>
      <c r="G3262" s="525">
        <f>SUM(G3251:G3260)</f>
        <v>0</v>
      </c>
    </row>
    <row r="3263" spans="1:7" ht="19.899999999999999" customHeight="1">
      <c r="A3263" s="505"/>
      <c r="B3263" s="466"/>
      <c r="C3263" s="474"/>
      <c r="D3263" s="473"/>
      <c r="E3263" s="460"/>
      <c r="F3263" s="458"/>
      <c r="G3263" s="511"/>
    </row>
    <row r="3264" spans="1:7" ht="19.899999999999999" customHeight="1">
      <c r="A3264" s="512"/>
      <c r="B3264" s="466"/>
      <c r="C3264" s="458" t="s">
        <v>1005</v>
      </c>
      <c r="D3264" s="475"/>
      <c r="E3264" s="476" t="str">
        <f ca="1">G3246&amp;"/día"</f>
        <v>m3/día</v>
      </c>
      <c r="F3264" s="452"/>
      <c r="G3264" s="507"/>
    </row>
    <row r="3265" spans="1:7" ht="19.899999999999999" customHeight="1">
      <c r="A3265" s="505"/>
      <c r="B3265" s="466"/>
      <c r="C3265" s="163"/>
      <c r="D3265" s="459"/>
      <c r="E3265" s="460"/>
      <c r="F3265" s="458"/>
      <c r="G3265" s="507"/>
    </row>
    <row r="3266" spans="1:7" ht="19.899999999999999" customHeight="1">
      <c r="A3266" s="677" t="s">
        <v>575</v>
      </c>
      <c r="B3266" s="678"/>
      <c r="C3266" s="679" t="s">
        <v>0</v>
      </c>
      <c r="D3266" s="691" t="s">
        <v>1864</v>
      </c>
      <c r="E3266" s="691" t="s">
        <v>1863</v>
      </c>
      <c r="F3266" s="683" t="s">
        <v>1006</v>
      </c>
      <c r="G3266" s="685" t="s">
        <v>25</v>
      </c>
    </row>
    <row r="3267" spans="1:7" ht="19.899999999999999" customHeight="1">
      <c r="A3267" s="477" t="s">
        <v>576</v>
      </c>
      <c r="B3267" s="477" t="s">
        <v>577</v>
      </c>
      <c r="C3267" s="680"/>
      <c r="D3267" s="692"/>
      <c r="E3267" s="682"/>
      <c r="F3267" s="684"/>
      <c r="G3267" s="686"/>
    </row>
    <row r="3268" spans="1:7" ht="19.899999999999999" customHeight="1">
      <c r="A3268" s="513"/>
      <c r="B3268" s="163"/>
      <c r="C3268" s="455" t="s">
        <v>1007</v>
      </c>
      <c r="D3268" s="460"/>
      <c r="E3268" s="460"/>
      <c r="F3268" s="163"/>
      <c r="G3268" s="514"/>
    </row>
    <row r="3269" spans="1:7" ht="19.899999999999999" customHeight="1">
      <c r="A3269" s="515">
        <f t="shared" ref="A3269:A3277" si="1029">IFERROR(VLOOKUP(C3269,T_Insumos,4,FALSE),0)</f>
        <v>0</v>
      </c>
      <c r="B3269" s="478">
        <f t="shared" ref="B3269:B3277" si="1030">IFERROR(VLOOKUP(C3269,T_Insumos,5,FALSE),0)</f>
        <v>0</v>
      </c>
      <c r="C3269" s="469"/>
      <c r="D3269" s="479">
        <f t="shared" ref="D3269:D3277" si="1031">IFERROR(VLOOKUP(C3269,T_Insumos,3,FALSE),0)</f>
        <v>0</v>
      </c>
      <c r="E3269" s="472">
        <f>D3269*$G$23</f>
        <v>0</v>
      </c>
      <c r="F3269" s="475">
        <f>IF(C3269="",0,IFERROR(VLOOKUP(COUNTIF($A$1:A3269,"ANALISIS DE PRECIOS"),T_Rendimiento_Equipo,5,FALSE),0))</f>
        <v>0</v>
      </c>
      <c r="G3269" s="472">
        <f>IFERROR(ROUND(E3269/F3269,2),0)</f>
        <v>0</v>
      </c>
    </row>
    <row r="3270" spans="1:7" ht="19.899999999999999" customHeight="1">
      <c r="A3270" s="515">
        <f t="shared" si="1029"/>
        <v>0</v>
      </c>
      <c r="B3270" s="478">
        <f t="shared" si="1030"/>
        <v>0</v>
      </c>
      <c r="C3270" s="469"/>
      <c r="D3270" s="479">
        <f t="shared" si="1031"/>
        <v>0</v>
      </c>
      <c r="E3270" s="472">
        <f t="shared" ref="E3270:E3277" si="1032">D3270*$G$23</f>
        <v>0</v>
      </c>
      <c r="F3270" s="475">
        <f>IF(C3270="",0,IFERROR(VLOOKUP(COUNTIF($A$1:A3270,"ANALISIS DE PRECIOS"),T_Rendimiento_Equipo,5,FALSE),0))</f>
        <v>0</v>
      </c>
      <c r="G3270" s="472">
        <f t="shared" ref="G3270:G3277" si="1033">IFERROR(ROUND(E3270/F3270,2),0)</f>
        <v>0</v>
      </c>
    </row>
    <row r="3271" spans="1:7" ht="19.899999999999999" customHeight="1">
      <c r="A3271" s="515">
        <f t="shared" si="1029"/>
        <v>0</v>
      </c>
      <c r="B3271" s="478">
        <f t="shared" si="1030"/>
        <v>0</v>
      </c>
      <c r="C3271" s="480"/>
      <c r="D3271" s="479">
        <f t="shared" si="1031"/>
        <v>0</v>
      </c>
      <c r="E3271" s="472">
        <f t="shared" si="1032"/>
        <v>0</v>
      </c>
      <c r="F3271" s="475">
        <f>IF(C3271="",0,IFERROR(VLOOKUP(COUNTIF($A$1:A3271,"ANALISIS DE PRECIOS"),T_Rendimiento_Equipo,5,FALSE),0))</f>
        <v>0</v>
      </c>
      <c r="G3271" s="472">
        <f t="shared" si="1033"/>
        <v>0</v>
      </c>
    </row>
    <row r="3272" spans="1:7" ht="19.899999999999999" customHeight="1">
      <c r="A3272" s="515">
        <f t="shared" si="1029"/>
        <v>0</v>
      </c>
      <c r="B3272" s="478">
        <f t="shared" si="1030"/>
        <v>0</v>
      </c>
      <c r="C3272" s="480"/>
      <c r="D3272" s="479">
        <f t="shared" si="1031"/>
        <v>0</v>
      </c>
      <c r="E3272" s="472">
        <f t="shared" si="1032"/>
        <v>0</v>
      </c>
      <c r="F3272" s="475">
        <f>IF(C3272="",0,IFERROR(VLOOKUP(COUNTIF($A$1:A3272,"ANALISIS DE PRECIOS"),T_Rendimiento_Equipo,5,FALSE),0))</f>
        <v>0</v>
      </c>
      <c r="G3272" s="472">
        <f t="shared" si="1033"/>
        <v>0</v>
      </c>
    </row>
    <row r="3273" spans="1:7" ht="19.899999999999999" customHeight="1">
      <c r="A3273" s="515">
        <f t="shared" si="1029"/>
        <v>0</v>
      </c>
      <c r="B3273" s="478">
        <f t="shared" si="1030"/>
        <v>0</v>
      </c>
      <c r="C3273" s="480"/>
      <c r="D3273" s="479">
        <f t="shared" si="1031"/>
        <v>0</v>
      </c>
      <c r="E3273" s="472">
        <f t="shared" si="1032"/>
        <v>0</v>
      </c>
      <c r="F3273" s="475">
        <f>IF(C3273="",0,IFERROR(VLOOKUP(COUNTIF($A$1:A3273,"ANALISIS DE PRECIOS"),T_Rendimiento_Equipo,5,FALSE),0))</f>
        <v>0</v>
      </c>
      <c r="G3273" s="472">
        <f t="shared" si="1033"/>
        <v>0</v>
      </c>
    </row>
    <row r="3274" spans="1:7" ht="19.899999999999999" customHeight="1">
      <c r="A3274" s="515">
        <f t="shared" si="1029"/>
        <v>0</v>
      </c>
      <c r="B3274" s="478">
        <f t="shared" si="1030"/>
        <v>0</v>
      </c>
      <c r="C3274" s="480"/>
      <c r="D3274" s="479">
        <f t="shared" si="1031"/>
        <v>0</v>
      </c>
      <c r="E3274" s="472">
        <f t="shared" si="1032"/>
        <v>0</v>
      </c>
      <c r="F3274" s="475">
        <f>IF(C3274="",0,IFERROR(VLOOKUP(COUNTIF($A$1:A3274,"ANALISIS DE PRECIOS"),T_Rendimiento_Equipo,5,FALSE),0))</f>
        <v>0</v>
      </c>
      <c r="G3274" s="472">
        <f t="shared" si="1033"/>
        <v>0</v>
      </c>
    </row>
    <row r="3275" spans="1:7" ht="19.899999999999999" customHeight="1">
      <c r="A3275" s="515">
        <f t="shared" si="1029"/>
        <v>0</v>
      </c>
      <c r="B3275" s="478">
        <f t="shared" si="1030"/>
        <v>0</v>
      </c>
      <c r="C3275" s="480"/>
      <c r="D3275" s="479">
        <f t="shared" si="1031"/>
        <v>0</v>
      </c>
      <c r="E3275" s="472">
        <f t="shared" si="1032"/>
        <v>0</v>
      </c>
      <c r="F3275" s="475">
        <f>IF(C3275="",0,IFERROR(VLOOKUP(COUNTIF($A$1:A3275,"ANALISIS DE PRECIOS"),T_Rendimiento_Equipo,5,FALSE),0))</f>
        <v>0</v>
      </c>
      <c r="G3275" s="472">
        <f t="shared" si="1033"/>
        <v>0</v>
      </c>
    </row>
    <row r="3276" spans="1:7" ht="19.899999999999999" customHeight="1">
      <c r="A3276" s="515">
        <f t="shared" si="1029"/>
        <v>0</v>
      </c>
      <c r="B3276" s="478">
        <f t="shared" si="1030"/>
        <v>0</v>
      </c>
      <c r="C3276" s="480"/>
      <c r="D3276" s="479">
        <f t="shared" si="1031"/>
        <v>0</v>
      </c>
      <c r="E3276" s="472">
        <f t="shared" si="1032"/>
        <v>0</v>
      </c>
      <c r="F3276" s="475">
        <f>IF(C3276="",0,IFERROR(VLOOKUP(COUNTIF($A$1:A3276,"ANALISIS DE PRECIOS"),T_Rendimiento_Equipo,5,FALSE),0))</f>
        <v>0</v>
      </c>
      <c r="G3276" s="472">
        <f t="shared" si="1033"/>
        <v>0</v>
      </c>
    </row>
    <row r="3277" spans="1:7" ht="19.899999999999999" customHeight="1">
      <c r="A3277" s="515">
        <f t="shared" si="1029"/>
        <v>0</v>
      </c>
      <c r="B3277" s="478">
        <f t="shared" si="1030"/>
        <v>0</v>
      </c>
      <c r="C3277" s="469"/>
      <c r="D3277" s="479">
        <f t="shared" si="1031"/>
        <v>0</v>
      </c>
      <c r="E3277" s="472">
        <f t="shared" si="1032"/>
        <v>0</v>
      </c>
      <c r="F3277" s="475">
        <f>IF(C3277="",0,IFERROR(VLOOKUP(COUNTIF($A$1:A3277,"ANALISIS DE PRECIOS"),T_Rendimiento_Equipo,5,FALSE),0))</f>
        <v>0</v>
      </c>
      <c r="G3277" s="472">
        <f t="shared" si="1033"/>
        <v>0</v>
      </c>
    </row>
    <row r="3278" spans="1:7" ht="19.899999999999999" customHeight="1">
      <c r="A3278" s="516"/>
      <c r="B3278" s="459"/>
      <c r="C3278" s="163"/>
      <c r="D3278" s="459"/>
      <c r="E3278" s="460"/>
      <c r="F3278" s="650" t="s">
        <v>26</v>
      </c>
      <c r="G3278" s="517">
        <f>SUBTOTAL(9,G3269:G3277)</f>
        <v>0</v>
      </c>
    </row>
    <row r="3279" spans="1:7" ht="19.899999999999999" customHeight="1">
      <c r="A3279" s="513"/>
      <c r="B3279" s="163"/>
      <c r="C3279" s="455" t="s">
        <v>712</v>
      </c>
      <c r="D3279" s="459"/>
      <c r="E3279" s="460"/>
      <c r="F3279" s="461"/>
      <c r="G3279" s="514"/>
    </row>
    <row r="3280" spans="1:7" ht="19.899999999999999" customHeight="1">
      <c r="A3280" s="677" t="s">
        <v>575</v>
      </c>
      <c r="B3280" s="678"/>
      <c r="C3280" s="679" t="s">
        <v>0</v>
      </c>
      <c r="D3280" s="681" t="s">
        <v>23</v>
      </c>
      <c r="E3280" s="681" t="s">
        <v>1830</v>
      </c>
      <c r="F3280" s="683" t="s">
        <v>1006</v>
      </c>
      <c r="G3280" s="685" t="s">
        <v>25</v>
      </c>
    </row>
    <row r="3281" spans="1:7" ht="19.899999999999999" customHeight="1">
      <c r="A3281" s="477" t="s">
        <v>576</v>
      </c>
      <c r="B3281" s="477" t="s">
        <v>577</v>
      </c>
      <c r="C3281" s="680"/>
      <c r="D3281" s="682"/>
      <c r="E3281" s="682"/>
      <c r="F3281" s="684"/>
      <c r="G3281" s="686"/>
    </row>
    <row r="3282" spans="1:7" ht="19.899999999999999" customHeight="1">
      <c r="A3282" s="515">
        <f t="shared" ref="A3282:A3288" si="1034">IFERROR(VLOOKUP(C3282,T_Insumos,4,FALSE),0)</f>
        <v>0</v>
      </c>
      <c r="B3282" s="478">
        <f t="shared" ref="B3282:B3288" si="1035">IFERROR(VLOOKUP(C3282,T_Insumos,5,FALSE),0)</f>
        <v>0</v>
      </c>
      <c r="C3282" s="482"/>
      <c r="D3282" s="475"/>
      <c r="E3282" s="472">
        <f t="shared" ref="E3282:E3288" si="1036">IFERROR(VLOOKUP(C3282,T_Insumos,3,FALSE),0)</f>
        <v>0</v>
      </c>
      <c r="F3282" s="475">
        <f>IF(C3282="",0,IFERROR(VLOOKUP(COUNTIF($A$1:A3282,"ANALISIS DE PRECIOS"),T_Rendimiento_Equipo,5,FALSE),0))</f>
        <v>0</v>
      </c>
      <c r="G3282" s="472">
        <f>IFERROR(ROUND(D3282*E3282/F3282,2),0)</f>
        <v>0</v>
      </c>
    </row>
    <row r="3283" spans="1:7" ht="19.899999999999999" customHeight="1">
      <c r="A3283" s="515">
        <f t="shared" si="1034"/>
        <v>0</v>
      </c>
      <c r="B3283" s="478">
        <f t="shared" si="1035"/>
        <v>0</v>
      </c>
      <c r="C3283" s="469"/>
      <c r="D3283" s="475"/>
      <c r="E3283" s="472">
        <f t="shared" si="1036"/>
        <v>0</v>
      </c>
      <c r="F3283" s="475">
        <f>IF(C3283="",0,IFERROR(VLOOKUP(COUNTIF($A$1:A3283,"ANALISIS DE PRECIOS"),T_Rendimiento_Equipo,5,FALSE),0))</f>
        <v>0</v>
      </c>
      <c r="G3283" s="472">
        <f t="shared" ref="G3283:G3288" si="1037">IFERROR(ROUND(D3283*E3283/F3283,2),0)</f>
        <v>0</v>
      </c>
    </row>
    <row r="3284" spans="1:7" ht="19.899999999999999" customHeight="1">
      <c r="A3284" s="515">
        <f t="shared" si="1034"/>
        <v>0</v>
      </c>
      <c r="B3284" s="478">
        <f t="shared" si="1035"/>
        <v>0</v>
      </c>
      <c r="C3284" s="469"/>
      <c r="D3284" s="475"/>
      <c r="E3284" s="472">
        <f t="shared" si="1036"/>
        <v>0</v>
      </c>
      <c r="F3284" s="475">
        <f>IF(C3284="",0,IFERROR(VLOOKUP(COUNTIF($A$1:A3284,"ANALISIS DE PRECIOS"),T_Rendimiento_Equipo,5,FALSE),0))</f>
        <v>0</v>
      </c>
      <c r="G3284" s="472">
        <f t="shared" si="1037"/>
        <v>0</v>
      </c>
    </row>
    <row r="3285" spans="1:7" ht="19.899999999999999" customHeight="1">
      <c r="A3285" s="515">
        <f t="shared" si="1034"/>
        <v>0</v>
      </c>
      <c r="B3285" s="478">
        <f t="shared" si="1035"/>
        <v>0</v>
      </c>
      <c r="C3285" s="469"/>
      <c r="D3285" s="475"/>
      <c r="E3285" s="472">
        <f t="shared" si="1036"/>
        <v>0</v>
      </c>
      <c r="F3285" s="475">
        <f>IF(C3285="",0,IFERROR(VLOOKUP(COUNTIF($A$1:A3285,"ANALISIS DE PRECIOS"),T_Rendimiento_Equipo,5,FALSE),0))</f>
        <v>0</v>
      </c>
      <c r="G3285" s="472">
        <f t="shared" si="1037"/>
        <v>0</v>
      </c>
    </row>
    <row r="3286" spans="1:7" ht="19.899999999999999" customHeight="1">
      <c r="A3286" s="515">
        <f t="shared" si="1034"/>
        <v>0</v>
      </c>
      <c r="B3286" s="478">
        <f t="shared" si="1035"/>
        <v>0</v>
      </c>
      <c r="C3286" s="469"/>
      <c r="D3286" s="475"/>
      <c r="E3286" s="472">
        <f t="shared" si="1036"/>
        <v>0</v>
      </c>
      <c r="F3286" s="475">
        <f>IF(C3286="",0,IFERROR(VLOOKUP(COUNTIF($A$1:A3286,"ANALISIS DE PRECIOS"),T_Rendimiento_Equipo,5,FALSE),0))</f>
        <v>0</v>
      </c>
      <c r="G3286" s="472">
        <f t="shared" si="1037"/>
        <v>0</v>
      </c>
    </row>
    <row r="3287" spans="1:7" ht="19.899999999999999" customHeight="1">
      <c r="A3287" s="515">
        <f t="shared" si="1034"/>
        <v>0</v>
      </c>
      <c r="B3287" s="478">
        <f t="shared" si="1035"/>
        <v>0</v>
      </c>
      <c r="C3287" s="469"/>
      <c r="D3287" s="483"/>
      <c r="E3287" s="472">
        <f t="shared" si="1036"/>
        <v>0</v>
      </c>
      <c r="F3287" s="475">
        <f>IF(C3287="",0,IFERROR(VLOOKUP(COUNTIF($A$1:A3287,"ANALISIS DE PRECIOS"),T_Rendimiento_Equipo,5,FALSE),0))</f>
        <v>0</v>
      </c>
      <c r="G3287" s="472">
        <f t="shared" si="1037"/>
        <v>0</v>
      </c>
    </row>
    <row r="3288" spans="1:7" ht="19.899999999999999" customHeight="1">
      <c r="A3288" s="515">
        <f t="shared" si="1034"/>
        <v>0</v>
      </c>
      <c r="B3288" s="478">
        <f t="shared" si="1035"/>
        <v>0</v>
      </c>
      <c r="C3288" s="478"/>
      <c r="D3288" s="484"/>
      <c r="E3288" s="472">
        <f t="shared" si="1036"/>
        <v>0</v>
      </c>
      <c r="F3288" s="475">
        <f>IF(C3288="",0,IFERROR(VLOOKUP(COUNTIF($A$1:A3288,"ANALISIS DE PRECIOS"),T_Rendimiento_Equipo,5,FALSE),0))</f>
        <v>0</v>
      </c>
      <c r="G3288" s="472">
        <f t="shared" si="1037"/>
        <v>0</v>
      </c>
    </row>
    <row r="3289" spans="1:7" ht="19.899999999999999" customHeight="1">
      <c r="A3289" s="516"/>
      <c r="B3289" s="459"/>
      <c r="C3289" s="163"/>
      <c r="D3289" s="459"/>
      <c r="E3289" s="460"/>
      <c r="F3289" s="650" t="s">
        <v>27</v>
      </c>
      <c r="G3289" s="518">
        <f>SUBTOTAL(9,G3282:G3288)</f>
        <v>0</v>
      </c>
    </row>
    <row r="3290" spans="1:7" ht="19.899999999999999" customHeight="1">
      <c r="A3290" s="513"/>
      <c r="B3290" s="163"/>
      <c r="C3290" s="455" t="s">
        <v>1013</v>
      </c>
      <c r="D3290" s="459"/>
      <c r="E3290" s="460"/>
      <c r="F3290" s="461"/>
      <c r="G3290" s="514"/>
    </row>
    <row r="3291" spans="1:7" ht="19.899999999999999" customHeight="1">
      <c r="A3291" s="677" t="s">
        <v>575</v>
      </c>
      <c r="B3291" s="678"/>
      <c r="C3291" s="679" t="s">
        <v>0</v>
      </c>
      <c r="D3291" s="679" t="s">
        <v>1865</v>
      </c>
      <c r="E3291" s="681" t="s">
        <v>23</v>
      </c>
      <c r="F3291" s="683" t="s">
        <v>24</v>
      </c>
      <c r="G3291" s="685" t="s">
        <v>25</v>
      </c>
    </row>
    <row r="3292" spans="1:7" ht="19.899999999999999" customHeight="1">
      <c r="A3292" s="477" t="s">
        <v>576</v>
      </c>
      <c r="B3292" s="477" t="s">
        <v>577</v>
      </c>
      <c r="C3292" s="680"/>
      <c r="D3292" s="680"/>
      <c r="E3292" s="682"/>
      <c r="F3292" s="684"/>
      <c r="G3292" s="686"/>
    </row>
    <row r="3293" spans="1:7" ht="19.899999999999999" customHeight="1">
      <c r="A3293" s="515">
        <f t="shared" ref="A3293:A3303" si="1038">IFERROR(VLOOKUP(C3293,T_Insumos,4,FALSE),0)</f>
        <v>0</v>
      </c>
      <c r="B3293" s="478">
        <f t="shared" ref="B3293:B3303" si="1039">IFERROR(VLOOKUP(C3293,T_Insumos,5,FALSE),0)</f>
        <v>0</v>
      </c>
      <c r="C3293" s="478"/>
      <c r="D3293" s="526">
        <f t="shared" ref="D3293:D3303" si="1040">IFERROR(VLOOKUP(C3293,T_Insumos,2,FALSE),0)</f>
        <v>0</v>
      </c>
      <c r="E3293" s="470"/>
      <c r="F3293" s="472">
        <f t="shared" ref="F3293:F3303" si="1041">IFERROR(VLOOKUP(C3293,T_Insumos,3,FALSE),0)</f>
        <v>0</v>
      </c>
      <c r="G3293" s="472">
        <f>ROUND(E3293*F3293,2)</f>
        <v>0</v>
      </c>
    </row>
    <row r="3294" spans="1:7" ht="19.899999999999999" customHeight="1">
      <c r="A3294" s="515">
        <f t="shared" si="1038"/>
        <v>0</v>
      </c>
      <c r="B3294" s="478">
        <f t="shared" si="1039"/>
        <v>0</v>
      </c>
      <c r="C3294" s="478"/>
      <c r="D3294" s="526">
        <f t="shared" si="1040"/>
        <v>0</v>
      </c>
      <c r="E3294" s="470"/>
      <c r="F3294" s="472">
        <f t="shared" si="1041"/>
        <v>0</v>
      </c>
      <c r="G3294" s="472">
        <f t="shared" ref="G3294:G3303" si="1042">ROUND(E3294*F3294,2)</f>
        <v>0</v>
      </c>
    </row>
    <row r="3295" spans="1:7" ht="19.899999999999999" customHeight="1">
      <c r="A3295" s="515">
        <f t="shared" si="1038"/>
        <v>0</v>
      </c>
      <c r="B3295" s="478">
        <f t="shared" si="1039"/>
        <v>0</v>
      </c>
      <c r="C3295" s="478"/>
      <c r="D3295" s="526">
        <f t="shared" si="1040"/>
        <v>0</v>
      </c>
      <c r="E3295" s="470"/>
      <c r="F3295" s="472">
        <f t="shared" si="1041"/>
        <v>0</v>
      </c>
      <c r="G3295" s="472">
        <f t="shared" si="1042"/>
        <v>0</v>
      </c>
    </row>
    <row r="3296" spans="1:7" ht="19.899999999999999" customHeight="1">
      <c r="A3296" s="515">
        <f t="shared" si="1038"/>
        <v>0</v>
      </c>
      <c r="B3296" s="478">
        <f t="shared" si="1039"/>
        <v>0</v>
      </c>
      <c r="C3296" s="478"/>
      <c r="D3296" s="526">
        <f t="shared" si="1040"/>
        <v>0</v>
      </c>
      <c r="E3296" s="470"/>
      <c r="F3296" s="472">
        <f t="shared" si="1041"/>
        <v>0</v>
      </c>
      <c r="G3296" s="472">
        <f t="shared" si="1042"/>
        <v>0</v>
      </c>
    </row>
    <row r="3297" spans="1:7" ht="19.899999999999999" customHeight="1">
      <c r="A3297" s="515">
        <f t="shared" si="1038"/>
        <v>0</v>
      </c>
      <c r="B3297" s="478">
        <f t="shared" si="1039"/>
        <v>0</v>
      </c>
      <c r="C3297" s="478"/>
      <c r="D3297" s="526">
        <f t="shared" si="1040"/>
        <v>0</v>
      </c>
      <c r="E3297" s="470"/>
      <c r="F3297" s="472">
        <f t="shared" si="1041"/>
        <v>0</v>
      </c>
      <c r="G3297" s="472">
        <f t="shared" si="1042"/>
        <v>0</v>
      </c>
    </row>
    <row r="3298" spans="1:7" ht="19.899999999999999" customHeight="1">
      <c r="A3298" s="515">
        <f t="shared" si="1038"/>
        <v>0</v>
      </c>
      <c r="B3298" s="478">
        <f t="shared" si="1039"/>
        <v>0</v>
      </c>
      <c r="C3298" s="478"/>
      <c r="D3298" s="526">
        <f t="shared" si="1040"/>
        <v>0</v>
      </c>
      <c r="E3298" s="470"/>
      <c r="F3298" s="472">
        <f t="shared" si="1041"/>
        <v>0</v>
      </c>
      <c r="G3298" s="472">
        <f t="shared" si="1042"/>
        <v>0</v>
      </c>
    </row>
    <row r="3299" spans="1:7" ht="19.899999999999999" customHeight="1">
      <c r="A3299" s="515">
        <f t="shared" si="1038"/>
        <v>0</v>
      </c>
      <c r="B3299" s="478">
        <f t="shared" si="1039"/>
        <v>0</v>
      </c>
      <c r="C3299" s="478"/>
      <c r="D3299" s="526">
        <f t="shared" si="1040"/>
        <v>0</v>
      </c>
      <c r="E3299" s="470"/>
      <c r="F3299" s="472">
        <f t="shared" si="1041"/>
        <v>0</v>
      </c>
      <c r="G3299" s="472">
        <f t="shared" si="1042"/>
        <v>0</v>
      </c>
    </row>
    <row r="3300" spans="1:7" ht="19.899999999999999" customHeight="1">
      <c r="A3300" s="515">
        <f t="shared" si="1038"/>
        <v>0</v>
      </c>
      <c r="B3300" s="478">
        <f t="shared" si="1039"/>
        <v>0</v>
      </c>
      <c r="C3300" s="478"/>
      <c r="D3300" s="526">
        <f t="shared" si="1040"/>
        <v>0</v>
      </c>
      <c r="E3300" s="470"/>
      <c r="F3300" s="472">
        <f t="shared" si="1041"/>
        <v>0</v>
      </c>
      <c r="G3300" s="472">
        <f t="shared" si="1042"/>
        <v>0</v>
      </c>
    </row>
    <row r="3301" spans="1:7" ht="19.899999999999999" customHeight="1">
      <c r="A3301" s="515">
        <f t="shared" si="1038"/>
        <v>0</v>
      </c>
      <c r="B3301" s="478">
        <f t="shared" si="1039"/>
        <v>0</v>
      </c>
      <c r="C3301" s="478"/>
      <c r="D3301" s="526">
        <f t="shared" si="1040"/>
        <v>0</v>
      </c>
      <c r="E3301" s="470"/>
      <c r="F3301" s="472">
        <f t="shared" si="1041"/>
        <v>0</v>
      </c>
      <c r="G3301" s="472">
        <f t="shared" si="1042"/>
        <v>0</v>
      </c>
    </row>
    <row r="3302" spans="1:7" ht="19.899999999999999" customHeight="1">
      <c r="A3302" s="515">
        <f t="shared" si="1038"/>
        <v>0</v>
      </c>
      <c r="B3302" s="478">
        <f t="shared" si="1039"/>
        <v>0</v>
      </c>
      <c r="C3302" s="478"/>
      <c r="D3302" s="526">
        <f t="shared" si="1040"/>
        <v>0</v>
      </c>
      <c r="E3302" s="470"/>
      <c r="F3302" s="472">
        <f t="shared" si="1041"/>
        <v>0</v>
      </c>
      <c r="G3302" s="472">
        <f t="shared" si="1042"/>
        <v>0</v>
      </c>
    </row>
    <row r="3303" spans="1:7" ht="19.899999999999999" customHeight="1">
      <c r="A3303" s="515">
        <f t="shared" si="1038"/>
        <v>0</v>
      </c>
      <c r="B3303" s="478">
        <f t="shared" si="1039"/>
        <v>0</v>
      </c>
      <c r="C3303" s="478"/>
      <c r="D3303" s="526">
        <f t="shared" si="1040"/>
        <v>0</v>
      </c>
      <c r="E3303" s="470"/>
      <c r="F3303" s="472">
        <f t="shared" si="1041"/>
        <v>0</v>
      </c>
      <c r="G3303" s="472">
        <f t="shared" si="1042"/>
        <v>0</v>
      </c>
    </row>
    <row r="3304" spans="1:7" ht="19.899999999999999" customHeight="1">
      <c r="A3304" s="513"/>
      <c r="B3304" s="163"/>
      <c r="C3304" s="163"/>
      <c r="D3304" s="459"/>
      <c r="E3304" s="460"/>
      <c r="F3304" s="650" t="s">
        <v>28</v>
      </c>
      <c r="G3304" s="518">
        <f>SUBTOTAL(9,G3293:G3303)</f>
        <v>0</v>
      </c>
    </row>
    <row r="3305" spans="1:7" ht="19.899999999999999" customHeight="1">
      <c r="A3305" s="513"/>
      <c r="B3305" s="163"/>
      <c r="C3305" s="455" t="s">
        <v>1014</v>
      </c>
      <c r="D3305" s="459"/>
      <c r="E3305" s="460"/>
      <c r="F3305" s="461"/>
      <c r="G3305" s="514"/>
    </row>
    <row r="3306" spans="1:7" ht="19.899999999999999" customHeight="1">
      <c r="A3306" s="677" t="s">
        <v>575</v>
      </c>
      <c r="B3306" s="678"/>
      <c r="C3306" s="679" t="s">
        <v>0</v>
      </c>
      <c r="D3306" s="679" t="s">
        <v>1865</v>
      </c>
      <c r="E3306" s="681" t="s">
        <v>23</v>
      </c>
      <c r="F3306" s="683" t="s">
        <v>24</v>
      </c>
      <c r="G3306" s="685" t="s">
        <v>25</v>
      </c>
    </row>
    <row r="3307" spans="1:7" ht="19.899999999999999" customHeight="1">
      <c r="A3307" s="477" t="s">
        <v>576</v>
      </c>
      <c r="B3307" s="477" t="s">
        <v>577</v>
      </c>
      <c r="C3307" s="680"/>
      <c r="D3307" s="680"/>
      <c r="E3307" s="682"/>
      <c r="F3307" s="684"/>
      <c r="G3307" s="686"/>
    </row>
    <row r="3308" spans="1:7" ht="19.899999999999999" customHeight="1">
      <c r="A3308" s="515">
        <f>IFERROR(VLOOKUP(C3308,T_Insumos,4,FALSE),0)</f>
        <v>0</v>
      </c>
      <c r="B3308" s="478">
        <f>IFERROR(VLOOKUP(C3308,T_Insumos,5,FALSE),0)</f>
        <v>0</v>
      </c>
      <c r="C3308" s="469"/>
      <c r="D3308" s="526">
        <f>IF(C3308=0,0,"$/tnkm")</f>
        <v>0</v>
      </c>
      <c r="E3308" s="470"/>
      <c r="F3308" s="472">
        <f>IFERROR(VLOOKUP(C3308,T_Insumos,3,FALSE),0)</f>
        <v>0</v>
      </c>
      <c r="G3308" s="472">
        <f>ROUND(E3308*F3308,2)</f>
        <v>0</v>
      </c>
    </row>
    <row r="3309" spans="1:7" ht="19.899999999999999" customHeight="1">
      <c r="A3309" s="515">
        <f>IFERROR(VLOOKUP(C3309,T_Insumos,4,FALSE),0)</f>
        <v>0</v>
      </c>
      <c r="B3309" s="478">
        <f>IFERROR(VLOOKUP(C3309,T_Insumos,5,FALSE),0)</f>
        <v>0</v>
      </c>
      <c r="C3309" s="469"/>
      <c r="D3309" s="526">
        <f>IF(C3309=0,0,"$/tnkm")</f>
        <v>0</v>
      </c>
      <c r="E3309" s="486"/>
      <c r="F3309" s="472">
        <f>IFERROR(VLOOKUP(C3309,T_Insumos,3,FALSE),0)</f>
        <v>0</v>
      </c>
      <c r="G3309" s="472">
        <f t="shared" ref="G3309" si="1043">ROUND(E3309*F3309,2)</f>
        <v>0</v>
      </c>
    </row>
    <row r="3310" spans="1:7" ht="19.899999999999999" customHeight="1">
      <c r="A3310" s="513"/>
      <c r="B3310" s="163"/>
      <c r="C3310" s="163"/>
      <c r="D3310" s="459"/>
      <c r="E3310" s="460"/>
      <c r="F3310" s="650" t="s">
        <v>1015</v>
      </c>
      <c r="G3310" s="518">
        <f>SUBTOTAL(9,G3308:G3309)</f>
        <v>0</v>
      </c>
    </row>
    <row r="3311" spans="1:7" ht="19.899999999999999" customHeight="1">
      <c r="A3311" s="516"/>
      <c r="B3311" s="459"/>
      <c r="C3311" s="163"/>
      <c r="D3311" s="459"/>
      <c r="E3311" s="460"/>
      <c r="F3311" s="461"/>
      <c r="G3311" s="514"/>
    </row>
    <row r="3312" spans="1:7" ht="19.899999999999999" customHeight="1">
      <c r="A3312" s="574" t="str">
        <f>B3246</f>
        <v>6.2.5</v>
      </c>
      <c r="B3312" s="571" t="str">
        <f ca="1">C3246</f>
        <v>Hormigon H20</v>
      </c>
      <c r="C3312" s="459"/>
      <c r="D3312" s="459" t="s">
        <v>1831</v>
      </c>
      <c r="E3312" s="572"/>
      <c r="F3312" s="573" t="str">
        <f ca="1">"$/"&amp;G3246</f>
        <v>$/m3</v>
      </c>
      <c r="G3312" s="523">
        <f>SUBTOTAL(9,G3269:G3311)</f>
        <v>0</v>
      </c>
    </row>
    <row r="3313" spans="1:7" ht="19.899999999999999" customHeight="1">
      <c r="A3313" s="519"/>
      <c r="B3313" s="520"/>
      <c r="C3313" s="521"/>
      <c r="D3313" s="521" t="s">
        <v>2041</v>
      </c>
      <c r="E3313" s="522"/>
      <c r="F3313" s="575" t="str">
        <f ca="1">"$/"&amp;G3246</f>
        <v>$/m3</v>
      </c>
      <c r="G3313" s="523">
        <f>ROUND(G3312*Coeficiente_Paso,2)</f>
        <v>0</v>
      </c>
    </row>
    <row r="3314" spans="1:7" ht="19.899999999999999" customHeight="1">
      <c r="A3314" s="163"/>
      <c r="B3314" s="163"/>
      <c r="C3314" s="163"/>
      <c r="D3314" s="163"/>
      <c r="E3314" s="163"/>
      <c r="F3314" s="163"/>
      <c r="G3314" s="163"/>
    </row>
    <row r="3315" spans="1:7" ht="19.899999999999999" customHeight="1">
      <c r="A3315" s="687" t="s">
        <v>30</v>
      </c>
      <c r="B3315" s="688"/>
      <c r="C3315" s="688"/>
      <c r="D3315" s="688"/>
      <c r="E3315" s="688"/>
      <c r="F3315" s="688"/>
      <c r="G3315" s="689"/>
    </row>
    <row r="3316" spans="1:7" ht="19.899999999999999" customHeight="1">
      <c r="A3316" s="502" t="s">
        <v>710</v>
      </c>
      <c r="B3316" s="453" t="str">
        <f>Comitente</f>
        <v>DEPARTAMENTO DE HIDRAULICA</v>
      </c>
      <c r="C3316" s="454"/>
      <c r="D3316" s="455"/>
      <c r="E3316" s="455"/>
      <c r="F3316" s="456"/>
      <c r="G3316" s="503"/>
    </row>
    <row r="3317" spans="1:7" ht="19.899999999999999" customHeight="1">
      <c r="A3317" s="502" t="s">
        <v>711</v>
      </c>
      <c r="B3317" s="453">
        <f>Contratista</f>
        <v>0</v>
      </c>
      <c r="C3317" s="457"/>
      <c r="D3317" s="457"/>
      <c r="E3317" s="457"/>
      <c r="F3317" s="453"/>
      <c r="G3317" s="504"/>
    </row>
    <row r="3318" spans="1:7" ht="19.899999999999999" customHeight="1">
      <c r="A3318" s="502" t="s">
        <v>20</v>
      </c>
      <c r="B3318" s="453" t="str">
        <f>Obra</f>
        <v>MEJORA DE LA RED DE RIEGO DEL VALLE DE JÁCHAL</v>
      </c>
      <c r="C3318" s="457"/>
      <c r="D3318" s="457"/>
      <c r="E3318" s="457"/>
      <c r="F3318" s="453" t="s">
        <v>31</v>
      </c>
      <c r="G3318" s="504" t="str">
        <f>Fecha_Base</f>
        <v>XX/07/2020</v>
      </c>
    </row>
    <row r="3319" spans="1:7" ht="19.899999999999999" customHeight="1">
      <c r="A3319" s="505" t="s">
        <v>709</v>
      </c>
      <c r="B3319" s="458" t="str">
        <f>Ubicación</f>
        <v>JACHAL</v>
      </c>
      <c r="C3319" s="458"/>
      <c r="D3319" s="459"/>
      <c r="E3319" s="460"/>
      <c r="F3319" s="461"/>
      <c r="G3319" s="506"/>
    </row>
    <row r="3320" spans="1:7" ht="19.899999999999999" customHeight="1">
      <c r="A3320" s="505" t="s">
        <v>32</v>
      </c>
      <c r="B3320" s="462">
        <f>IFERROR(VALUE(LEFT(B3321,FIND(".",B3321)-1)),"")</f>
        <v>6</v>
      </c>
      <c r="C3320" s="163" t="str">
        <f ca="1">IFERROR(VLOOKUP(B3320,T_Computo_Presupuesto,2,FALSE),0)</f>
        <v>CANAL DEL NORTE</v>
      </c>
      <c r="D3320" s="163"/>
      <c r="E3320" s="460"/>
      <c r="F3320" s="461"/>
      <c r="G3320" s="506"/>
    </row>
    <row r="3321" spans="1:7" ht="19.899999999999999" customHeight="1">
      <c r="A3321" s="505" t="s">
        <v>21</v>
      </c>
      <c r="B3321" s="463" t="str">
        <f>IFERROR(VLOOKUP(COUNTIF($A$1:A3321,"ANALISIS DE PRECIOS"),T_NumeroItem,2,FALSE),"")</f>
        <v>6.2.6</v>
      </c>
      <c r="C3321" s="690" t="str">
        <f ca="1">IFERROR(VLOOKUP(B3321,T_Computo_Presupuesto,2,FALSE),0)</f>
        <v>Malla de acero</v>
      </c>
      <c r="D3321" s="690"/>
      <c r="E3321" s="690"/>
      <c r="F3321" s="458" t="s">
        <v>22</v>
      </c>
      <c r="G3321" s="507" t="str">
        <f ca="1">IFERROR(VLOOKUP(B3321,T_Computo_Presupuesto,4,FALSE),0)</f>
        <v>kg</v>
      </c>
    </row>
    <row r="3322" spans="1:7" ht="19.899999999999999" customHeight="1">
      <c r="A3322" s="505"/>
      <c r="B3322" s="458"/>
      <c r="C3322" s="163"/>
      <c r="D3322" s="459"/>
      <c r="E3322" s="460"/>
      <c r="F3322" s="163"/>
      <c r="G3322" s="508"/>
    </row>
    <row r="3323" spans="1:7" ht="19.899999999999999" customHeight="1">
      <c r="A3323" s="509"/>
      <c r="B3323" s="464"/>
      <c r="C3323" s="465" t="s">
        <v>998</v>
      </c>
      <c r="D3323" s="464"/>
      <c r="E3323" s="464"/>
      <c r="F3323" s="464"/>
      <c r="G3323" s="510"/>
    </row>
    <row r="3324" spans="1:7" ht="19.899999999999999" customHeight="1">
      <c r="A3324" s="505"/>
      <c r="B3324" s="466"/>
      <c r="C3324" s="163"/>
      <c r="D3324" s="459"/>
      <c r="E3324" s="460"/>
      <c r="F3324" s="458"/>
      <c r="G3324" s="507"/>
    </row>
    <row r="3325" spans="1:7" ht="19.899999999999999" customHeight="1">
      <c r="A3325" s="505"/>
      <c r="B3325" s="466"/>
      <c r="C3325" s="467" t="s">
        <v>999</v>
      </c>
      <c r="D3325" s="468" t="s">
        <v>23</v>
      </c>
      <c r="E3325" s="468" t="s">
        <v>1000</v>
      </c>
      <c r="F3325" s="468" t="s">
        <v>1001</v>
      </c>
      <c r="G3325" s="467" t="s">
        <v>1002</v>
      </c>
    </row>
    <row r="3326" spans="1:7" ht="19.899999999999999" customHeight="1">
      <c r="A3326" s="505"/>
      <c r="B3326" s="466"/>
      <c r="C3326" s="469"/>
      <c r="D3326" s="470"/>
      <c r="E3326" s="471">
        <f t="shared" ref="E3326:E3335" si="1044">IFERROR(VLOOKUP(C3326,T_Equipos,4,FALSE),0)</f>
        <v>0</v>
      </c>
      <c r="F3326" s="472">
        <f t="shared" ref="F3326:F3335" si="1045">IFERROR(VLOOKUP(C3326,T_Equipos,5,FALSE),0)</f>
        <v>0</v>
      </c>
      <c r="G3326" s="472">
        <f>ROUND(D3326*F3326,2)</f>
        <v>0</v>
      </c>
    </row>
    <row r="3327" spans="1:7" ht="19.899999999999999" customHeight="1">
      <c r="A3327" s="505"/>
      <c r="B3327" s="466"/>
      <c r="C3327" s="469"/>
      <c r="D3327" s="470"/>
      <c r="E3327" s="471">
        <f t="shared" si="1044"/>
        <v>0</v>
      </c>
      <c r="F3327" s="472">
        <f t="shared" si="1045"/>
        <v>0</v>
      </c>
      <c r="G3327" s="472">
        <f>ROUND(D3327*F3327,2)</f>
        <v>0</v>
      </c>
    </row>
    <row r="3328" spans="1:7" ht="19.899999999999999" customHeight="1">
      <c r="A3328" s="505"/>
      <c r="B3328" s="466"/>
      <c r="C3328" s="469"/>
      <c r="D3328" s="470"/>
      <c r="E3328" s="471">
        <f t="shared" si="1044"/>
        <v>0</v>
      </c>
      <c r="F3328" s="472">
        <f t="shared" si="1045"/>
        <v>0</v>
      </c>
      <c r="G3328" s="472">
        <f>ROUND(D3328*F3328,2)</f>
        <v>0</v>
      </c>
    </row>
    <row r="3329" spans="1:7" ht="19.899999999999999" customHeight="1">
      <c r="A3329" s="505"/>
      <c r="B3329" s="466"/>
      <c r="C3329" s="469"/>
      <c r="D3329" s="470"/>
      <c r="E3329" s="471">
        <f t="shared" si="1044"/>
        <v>0</v>
      </c>
      <c r="F3329" s="472">
        <f t="shared" si="1045"/>
        <v>0</v>
      </c>
      <c r="G3329" s="472">
        <f>ROUND(D3329*F3329,2)</f>
        <v>0</v>
      </c>
    </row>
    <row r="3330" spans="1:7" ht="19.899999999999999" customHeight="1">
      <c r="A3330" s="505"/>
      <c r="B3330" s="466"/>
      <c r="C3330" s="469"/>
      <c r="D3330" s="470"/>
      <c r="E3330" s="471">
        <f t="shared" si="1044"/>
        <v>0</v>
      </c>
      <c r="F3330" s="472">
        <f t="shared" si="1045"/>
        <v>0</v>
      </c>
      <c r="G3330" s="472">
        <f t="shared" ref="G3330:G3335" si="1046">ROUND(D3330*F3330,2)</f>
        <v>0</v>
      </c>
    </row>
    <row r="3331" spans="1:7" ht="19.899999999999999" customHeight="1">
      <c r="A3331" s="505"/>
      <c r="B3331" s="466"/>
      <c r="C3331" s="469"/>
      <c r="D3331" s="470"/>
      <c r="E3331" s="471">
        <f t="shared" si="1044"/>
        <v>0</v>
      </c>
      <c r="F3331" s="472">
        <f t="shared" si="1045"/>
        <v>0</v>
      </c>
      <c r="G3331" s="472">
        <f t="shared" si="1046"/>
        <v>0</v>
      </c>
    </row>
    <row r="3332" spans="1:7" ht="19.899999999999999" customHeight="1">
      <c r="A3332" s="505"/>
      <c r="B3332" s="466"/>
      <c r="C3332" s="469"/>
      <c r="D3332" s="470"/>
      <c r="E3332" s="471">
        <f t="shared" si="1044"/>
        <v>0</v>
      </c>
      <c r="F3332" s="472">
        <f t="shared" si="1045"/>
        <v>0</v>
      </c>
      <c r="G3332" s="472">
        <f t="shared" si="1046"/>
        <v>0</v>
      </c>
    </row>
    <row r="3333" spans="1:7" ht="19.899999999999999" customHeight="1">
      <c r="A3333" s="505"/>
      <c r="B3333" s="466"/>
      <c r="C3333" s="469"/>
      <c r="D3333" s="470"/>
      <c r="E3333" s="471">
        <f t="shared" si="1044"/>
        <v>0</v>
      </c>
      <c r="F3333" s="472">
        <f t="shared" si="1045"/>
        <v>0</v>
      </c>
      <c r="G3333" s="472">
        <f t="shared" si="1046"/>
        <v>0</v>
      </c>
    </row>
    <row r="3334" spans="1:7" ht="19.899999999999999" customHeight="1">
      <c r="A3334" s="505"/>
      <c r="B3334" s="466"/>
      <c r="C3334" s="469"/>
      <c r="D3334" s="470"/>
      <c r="E3334" s="471">
        <f t="shared" si="1044"/>
        <v>0</v>
      </c>
      <c r="F3334" s="472">
        <f t="shared" si="1045"/>
        <v>0</v>
      </c>
      <c r="G3334" s="472">
        <f t="shared" si="1046"/>
        <v>0</v>
      </c>
    </row>
    <row r="3335" spans="1:7" ht="19.899999999999999" customHeight="1">
      <c r="A3335" s="505"/>
      <c r="B3335" s="466"/>
      <c r="C3335" s="469"/>
      <c r="D3335" s="470"/>
      <c r="E3335" s="471">
        <f t="shared" si="1044"/>
        <v>0</v>
      </c>
      <c r="F3335" s="472">
        <f t="shared" si="1045"/>
        <v>0</v>
      </c>
      <c r="G3335" s="472">
        <f t="shared" si="1046"/>
        <v>0</v>
      </c>
    </row>
    <row r="3336" spans="1:7" ht="19.899999999999999" customHeight="1">
      <c r="A3336" s="505"/>
      <c r="B3336" s="466"/>
      <c r="C3336" s="163"/>
      <c r="D3336" s="163"/>
      <c r="E3336" s="473"/>
      <c r="F3336" s="458"/>
      <c r="G3336" s="507"/>
    </row>
    <row r="3337" spans="1:7" ht="19.899999999999999" customHeight="1">
      <c r="A3337" s="505"/>
      <c r="B3337" s="163"/>
      <c r="C3337" s="455" t="s">
        <v>1003</v>
      </c>
      <c r="D3337" s="458" t="s">
        <v>1000</v>
      </c>
      <c r="E3337" s="524">
        <f>SUMPRODUCT(D3326:D3335,E3326:E3335)</f>
        <v>0</v>
      </c>
      <c r="F3337" s="458" t="s">
        <v>1004</v>
      </c>
      <c r="G3337" s="525">
        <f>SUM(G3326:G3335)</f>
        <v>0</v>
      </c>
    </row>
    <row r="3338" spans="1:7" ht="19.899999999999999" customHeight="1">
      <c r="A3338" s="505"/>
      <c r="B3338" s="466"/>
      <c r="C3338" s="474"/>
      <c r="D3338" s="473"/>
      <c r="E3338" s="460"/>
      <c r="F3338" s="458"/>
      <c r="G3338" s="511"/>
    </row>
    <row r="3339" spans="1:7" ht="19.899999999999999" customHeight="1">
      <c r="A3339" s="512"/>
      <c r="B3339" s="466"/>
      <c r="C3339" s="458" t="s">
        <v>1005</v>
      </c>
      <c r="D3339" s="475"/>
      <c r="E3339" s="476" t="str">
        <f ca="1">G3321&amp;"/día"</f>
        <v>kg/día</v>
      </c>
      <c r="F3339" s="452"/>
      <c r="G3339" s="507"/>
    </row>
    <row r="3340" spans="1:7" ht="19.899999999999999" customHeight="1">
      <c r="A3340" s="505"/>
      <c r="B3340" s="466"/>
      <c r="C3340" s="163"/>
      <c r="D3340" s="459"/>
      <c r="E3340" s="460"/>
      <c r="F3340" s="458"/>
      <c r="G3340" s="507"/>
    </row>
    <row r="3341" spans="1:7" ht="19.899999999999999" customHeight="1">
      <c r="A3341" s="677" t="s">
        <v>575</v>
      </c>
      <c r="B3341" s="678"/>
      <c r="C3341" s="679" t="s">
        <v>0</v>
      </c>
      <c r="D3341" s="691" t="s">
        <v>1864</v>
      </c>
      <c r="E3341" s="691" t="s">
        <v>1863</v>
      </c>
      <c r="F3341" s="683" t="s">
        <v>1006</v>
      </c>
      <c r="G3341" s="685" t="s">
        <v>25</v>
      </c>
    </row>
    <row r="3342" spans="1:7" ht="19.899999999999999" customHeight="1">
      <c r="A3342" s="477" t="s">
        <v>576</v>
      </c>
      <c r="B3342" s="477" t="s">
        <v>577</v>
      </c>
      <c r="C3342" s="680"/>
      <c r="D3342" s="692"/>
      <c r="E3342" s="682"/>
      <c r="F3342" s="684"/>
      <c r="G3342" s="686"/>
    </row>
    <row r="3343" spans="1:7" ht="19.899999999999999" customHeight="1">
      <c r="A3343" s="513"/>
      <c r="B3343" s="163"/>
      <c r="C3343" s="455" t="s">
        <v>1007</v>
      </c>
      <c r="D3343" s="460"/>
      <c r="E3343" s="460"/>
      <c r="F3343" s="163"/>
      <c r="G3343" s="514"/>
    </row>
    <row r="3344" spans="1:7" ht="19.899999999999999" customHeight="1">
      <c r="A3344" s="515">
        <f t="shared" ref="A3344:A3352" si="1047">IFERROR(VLOOKUP(C3344,T_Insumos,4,FALSE),0)</f>
        <v>0</v>
      </c>
      <c r="B3344" s="478">
        <f t="shared" ref="B3344:B3352" si="1048">IFERROR(VLOOKUP(C3344,T_Insumos,5,FALSE),0)</f>
        <v>0</v>
      </c>
      <c r="C3344" s="469"/>
      <c r="D3344" s="479">
        <f t="shared" ref="D3344:D3352" si="1049">IFERROR(VLOOKUP(C3344,T_Insumos,3,FALSE),0)</f>
        <v>0</v>
      </c>
      <c r="E3344" s="472">
        <f>D3344*$G$23</f>
        <v>0</v>
      </c>
      <c r="F3344" s="475">
        <f>IF(C3344="",0,IFERROR(VLOOKUP(COUNTIF($A$1:A3344,"ANALISIS DE PRECIOS"),T_Rendimiento_Equipo,5,FALSE),0))</f>
        <v>0</v>
      </c>
      <c r="G3344" s="472">
        <f>IFERROR(ROUND(E3344/F3344,2),0)</f>
        <v>0</v>
      </c>
    </row>
    <row r="3345" spans="1:7" ht="19.899999999999999" customHeight="1">
      <c r="A3345" s="515">
        <f t="shared" si="1047"/>
        <v>0</v>
      </c>
      <c r="B3345" s="478">
        <f t="shared" si="1048"/>
        <v>0</v>
      </c>
      <c r="C3345" s="469"/>
      <c r="D3345" s="479">
        <f t="shared" si="1049"/>
        <v>0</v>
      </c>
      <c r="E3345" s="472">
        <f t="shared" ref="E3345:E3352" si="1050">D3345*$G$23</f>
        <v>0</v>
      </c>
      <c r="F3345" s="475">
        <f>IF(C3345="",0,IFERROR(VLOOKUP(COUNTIF($A$1:A3345,"ANALISIS DE PRECIOS"),T_Rendimiento_Equipo,5,FALSE),0))</f>
        <v>0</v>
      </c>
      <c r="G3345" s="472">
        <f t="shared" ref="G3345:G3352" si="1051">IFERROR(ROUND(E3345/F3345,2),0)</f>
        <v>0</v>
      </c>
    </row>
    <row r="3346" spans="1:7" ht="19.899999999999999" customHeight="1">
      <c r="A3346" s="515">
        <f t="shared" si="1047"/>
        <v>0</v>
      </c>
      <c r="B3346" s="478">
        <f t="shared" si="1048"/>
        <v>0</v>
      </c>
      <c r="C3346" s="480"/>
      <c r="D3346" s="479">
        <f t="shared" si="1049"/>
        <v>0</v>
      </c>
      <c r="E3346" s="472">
        <f t="shared" si="1050"/>
        <v>0</v>
      </c>
      <c r="F3346" s="475">
        <f>IF(C3346="",0,IFERROR(VLOOKUP(COUNTIF($A$1:A3346,"ANALISIS DE PRECIOS"),T_Rendimiento_Equipo,5,FALSE),0))</f>
        <v>0</v>
      </c>
      <c r="G3346" s="472">
        <f t="shared" si="1051"/>
        <v>0</v>
      </c>
    </row>
    <row r="3347" spans="1:7" ht="19.899999999999999" customHeight="1">
      <c r="A3347" s="515">
        <f t="shared" si="1047"/>
        <v>0</v>
      </c>
      <c r="B3347" s="478">
        <f t="shared" si="1048"/>
        <v>0</v>
      </c>
      <c r="C3347" s="480"/>
      <c r="D3347" s="479">
        <f t="shared" si="1049"/>
        <v>0</v>
      </c>
      <c r="E3347" s="472">
        <f t="shared" si="1050"/>
        <v>0</v>
      </c>
      <c r="F3347" s="475">
        <f>IF(C3347="",0,IFERROR(VLOOKUP(COUNTIF($A$1:A3347,"ANALISIS DE PRECIOS"),T_Rendimiento_Equipo,5,FALSE),0))</f>
        <v>0</v>
      </c>
      <c r="G3347" s="472">
        <f t="shared" si="1051"/>
        <v>0</v>
      </c>
    </row>
    <row r="3348" spans="1:7" ht="19.899999999999999" customHeight="1">
      <c r="A3348" s="515">
        <f t="shared" si="1047"/>
        <v>0</v>
      </c>
      <c r="B3348" s="478">
        <f t="shared" si="1048"/>
        <v>0</v>
      </c>
      <c r="C3348" s="480"/>
      <c r="D3348" s="479">
        <f t="shared" si="1049"/>
        <v>0</v>
      </c>
      <c r="E3348" s="472">
        <f t="shared" si="1050"/>
        <v>0</v>
      </c>
      <c r="F3348" s="475">
        <f>IF(C3348="",0,IFERROR(VLOOKUP(COUNTIF($A$1:A3348,"ANALISIS DE PRECIOS"),T_Rendimiento_Equipo,5,FALSE),0))</f>
        <v>0</v>
      </c>
      <c r="G3348" s="472">
        <f t="shared" si="1051"/>
        <v>0</v>
      </c>
    </row>
    <row r="3349" spans="1:7" ht="19.899999999999999" customHeight="1">
      <c r="A3349" s="515">
        <f t="shared" si="1047"/>
        <v>0</v>
      </c>
      <c r="B3349" s="478">
        <f t="shared" si="1048"/>
        <v>0</v>
      </c>
      <c r="C3349" s="480"/>
      <c r="D3349" s="479">
        <f t="shared" si="1049"/>
        <v>0</v>
      </c>
      <c r="E3349" s="472">
        <f t="shared" si="1050"/>
        <v>0</v>
      </c>
      <c r="F3349" s="475">
        <f>IF(C3349="",0,IFERROR(VLOOKUP(COUNTIF($A$1:A3349,"ANALISIS DE PRECIOS"),T_Rendimiento_Equipo,5,FALSE),0))</f>
        <v>0</v>
      </c>
      <c r="G3349" s="472">
        <f t="shared" si="1051"/>
        <v>0</v>
      </c>
    </row>
    <row r="3350" spans="1:7" ht="19.899999999999999" customHeight="1">
      <c r="A3350" s="515">
        <f t="shared" si="1047"/>
        <v>0</v>
      </c>
      <c r="B3350" s="478">
        <f t="shared" si="1048"/>
        <v>0</v>
      </c>
      <c r="C3350" s="480"/>
      <c r="D3350" s="479">
        <f t="shared" si="1049"/>
        <v>0</v>
      </c>
      <c r="E3350" s="472">
        <f t="shared" si="1050"/>
        <v>0</v>
      </c>
      <c r="F3350" s="475">
        <f>IF(C3350="",0,IFERROR(VLOOKUP(COUNTIF($A$1:A3350,"ANALISIS DE PRECIOS"),T_Rendimiento_Equipo,5,FALSE),0))</f>
        <v>0</v>
      </c>
      <c r="G3350" s="472">
        <f t="shared" si="1051"/>
        <v>0</v>
      </c>
    </row>
    <row r="3351" spans="1:7" ht="19.899999999999999" customHeight="1">
      <c r="A3351" s="515">
        <f t="shared" si="1047"/>
        <v>0</v>
      </c>
      <c r="B3351" s="478">
        <f t="shared" si="1048"/>
        <v>0</v>
      </c>
      <c r="C3351" s="480"/>
      <c r="D3351" s="479">
        <f t="shared" si="1049"/>
        <v>0</v>
      </c>
      <c r="E3351" s="472">
        <f t="shared" si="1050"/>
        <v>0</v>
      </c>
      <c r="F3351" s="475">
        <f>IF(C3351="",0,IFERROR(VLOOKUP(COUNTIF($A$1:A3351,"ANALISIS DE PRECIOS"),T_Rendimiento_Equipo,5,FALSE),0))</f>
        <v>0</v>
      </c>
      <c r="G3351" s="472">
        <f t="shared" si="1051"/>
        <v>0</v>
      </c>
    </row>
    <row r="3352" spans="1:7" ht="19.899999999999999" customHeight="1">
      <c r="A3352" s="515">
        <f t="shared" si="1047"/>
        <v>0</v>
      </c>
      <c r="B3352" s="478">
        <f t="shared" si="1048"/>
        <v>0</v>
      </c>
      <c r="C3352" s="469"/>
      <c r="D3352" s="479">
        <f t="shared" si="1049"/>
        <v>0</v>
      </c>
      <c r="E3352" s="472">
        <f t="shared" si="1050"/>
        <v>0</v>
      </c>
      <c r="F3352" s="475">
        <f>IF(C3352="",0,IFERROR(VLOOKUP(COUNTIF($A$1:A3352,"ANALISIS DE PRECIOS"),T_Rendimiento_Equipo,5,FALSE),0))</f>
        <v>0</v>
      </c>
      <c r="G3352" s="472">
        <f t="shared" si="1051"/>
        <v>0</v>
      </c>
    </row>
    <row r="3353" spans="1:7" ht="19.899999999999999" customHeight="1">
      <c r="A3353" s="516"/>
      <c r="B3353" s="459"/>
      <c r="C3353" s="163"/>
      <c r="D3353" s="459"/>
      <c r="E3353" s="460"/>
      <c r="F3353" s="650" t="s">
        <v>26</v>
      </c>
      <c r="G3353" s="517">
        <f>SUBTOTAL(9,G3344:G3352)</f>
        <v>0</v>
      </c>
    </row>
    <row r="3354" spans="1:7" ht="19.899999999999999" customHeight="1">
      <c r="A3354" s="513"/>
      <c r="B3354" s="163"/>
      <c r="C3354" s="455" t="s">
        <v>712</v>
      </c>
      <c r="D3354" s="459"/>
      <c r="E3354" s="460"/>
      <c r="F3354" s="461"/>
      <c r="G3354" s="514"/>
    </row>
    <row r="3355" spans="1:7" ht="19.899999999999999" customHeight="1">
      <c r="A3355" s="677" t="s">
        <v>575</v>
      </c>
      <c r="B3355" s="678"/>
      <c r="C3355" s="679" t="s">
        <v>0</v>
      </c>
      <c r="D3355" s="681" t="s">
        <v>23</v>
      </c>
      <c r="E3355" s="681" t="s">
        <v>1830</v>
      </c>
      <c r="F3355" s="683" t="s">
        <v>1006</v>
      </c>
      <c r="G3355" s="685" t="s">
        <v>25</v>
      </c>
    </row>
    <row r="3356" spans="1:7" ht="19.899999999999999" customHeight="1">
      <c r="A3356" s="477" t="s">
        <v>576</v>
      </c>
      <c r="B3356" s="477" t="s">
        <v>577</v>
      </c>
      <c r="C3356" s="680"/>
      <c r="D3356" s="682"/>
      <c r="E3356" s="682"/>
      <c r="F3356" s="684"/>
      <c r="G3356" s="686"/>
    </row>
    <row r="3357" spans="1:7" ht="19.899999999999999" customHeight="1">
      <c r="A3357" s="515">
        <f t="shared" ref="A3357:A3363" si="1052">IFERROR(VLOOKUP(C3357,T_Insumos,4,FALSE),0)</f>
        <v>0</v>
      </c>
      <c r="B3357" s="478">
        <f t="shared" ref="B3357:B3363" si="1053">IFERROR(VLOOKUP(C3357,T_Insumos,5,FALSE),0)</f>
        <v>0</v>
      </c>
      <c r="C3357" s="482"/>
      <c r="D3357" s="475"/>
      <c r="E3357" s="472">
        <f t="shared" ref="E3357:E3363" si="1054">IFERROR(VLOOKUP(C3357,T_Insumos,3,FALSE),0)</f>
        <v>0</v>
      </c>
      <c r="F3357" s="475">
        <f>IF(C3357="",0,IFERROR(VLOOKUP(COUNTIF($A$1:A3357,"ANALISIS DE PRECIOS"),T_Rendimiento_Equipo,5,FALSE),0))</f>
        <v>0</v>
      </c>
      <c r="G3357" s="472">
        <f>IFERROR(ROUND(D3357*E3357/F3357,2),0)</f>
        <v>0</v>
      </c>
    </row>
    <row r="3358" spans="1:7" ht="19.899999999999999" customHeight="1">
      <c r="A3358" s="515">
        <f t="shared" si="1052"/>
        <v>0</v>
      </c>
      <c r="B3358" s="478">
        <f t="shared" si="1053"/>
        <v>0</v>
      </c>
      <c r="C3358" s="469"/>
      <c r="D3358" s="475"/>
      <c r="E3358" s="472">
        <f t="shared" si="1054"/>
        <v>0</v>
      </c>
      <c r="F3358" s="475">
        <f>IF(C3358="",0,IFERROR(VLOOKUP(COUNTIF($A$1:A3358,"ANALISIS DE PRECIOS"),T_Rendimiento_Equipo,5,FALSE),0))</f>
        <v>0</v>
      </c>
      <c r="G3358" s="472">
        <f t="shared" ref="G3358:G3363" si="1055">IFERROR(ROUND(D3358*E3358/F3358,2),0)</f>
        <v>0</v>
      </c>
    </row>
    <row r="3359" spans="1:7" ht="19.899999999999999" customHeight="1">
      <c r="A3359" s="515">
        <f t="shared" si="1052"/>
        <v>0</v>
      </c>
      <c r="B3359" s="478">
        <f t="shared" si="1053"/>
        <v>0</v>
      </c>
      <c r="C3359" s="469"/>
      <c r="D3359" s="475"/>
      <c r="E3359" s="472">
        <f t="shared" si="1054"/>
        <v>0</v>
      </c>
      <c r="F3359" s="475">
        <f>IF(C3359="",0,IFERROR(VLOOKUP(COUNTIF($A$1:A3359,"ANALISIS DE PRECIOS"),T_Rendimiento_Equipo,5,FALSE),0))</f>
        <v>0</v>
      </c>
      <c r="G3359" s="472">
        <f t="shared" si="1055"/>
        <v>0</v>
      </c>
    </row>
    <row r="3360" spans="1:7" ht="19.899999999999999" customHeight="1">
      <c r="A3360" s="515">
        <f t="shared" si="1052"/>
        <v>0</v>
      </c>
      <c r="B3360" s="478">
        <f t="shared" si="1053"/>
        <v>0</v>
      </c>
      <c r="C3360" s="469"/>
      <c r="D3360" s="475"/>
      <c r="E3360" s="472">
        <f t="shared" si="1054"/>
        <v>0</v>
      </c>
      <c r="F3360" s="475">
        <f>IF(C3360="",0,IFERROR(VLOOKUP(COUNTIF($A$1:A3360,"ANALISIS DE PRECIOS"),T_Rendimiento_Equipo,5,FALSE),0))</f>
        <v>0</v>
      </c>
      <c r="G3360" s="472">
        <f t="shared" si="1055"/>
        <v>0</v>
      </c>
    </row>
    <row r="3361" spans="1:7" ht="19.899999999999999" customHeight="1">
      <c r="A3361" s="515">
        <f t="shared" si="1052"/>
        <v>0</v>
      </c>
      <c r="B3361" s="478">
        <f t="shared" si="1053"/>
        <v>0</v>
      </c>
      <c r="C3361" s="469"/>
      <c r="D3361" s="475"/>
      <c r="E3361" s="472">
        <f t="shared" si="1054"/>
        <v>0</v>
      </c>
      <c r="F3361" s="475">
        <f>IF(C3361="",0,IFERROR(VLOOKUP(COUNTIF($A$1:A3361,"ANALISIS DE PRECIOS"),T_Rendimiento_Equipo,5,FALSE),0))</f>
        <v>0</v>
      </c>
      <c r="G3361" s="472">
        <f t="shared" si="1055"/>
        <v>0</v>
      </c>
    </row>
    <row r="3362" spans="1:7" ht="19.899999999999999" customHeight="1">
      <c r="A3362" s="515">
        <f t="shared" si="1052"/>
        <v>0</v>
      </c>
      <c r="B3362" s="478">
        <f t="shared" si="1053"/>
        <v>0</v>
      </c>
      <c r="C3362" s="469"/>
      <c r="D3362" s="483"/>
      <c r="E3362" s="472">
        <f t="shared" si="1054"/>
        <v>0</v>
      </c>
      <c r="F3362" s="475">
        <f>IF(C3362="",0,IFERROR(VLOOKUP(COUNTIF($A$1:A3362,"ANALISIS DE PRECIOS"),T_Rendimiento_Equipo,5,FALSE),0))</f>
        <v>0</v>
      </c>
      <c r="G3362" s="472">
        <f t="shared" si="1055"/>
        <v>0</v>
      </c>
    </row>
    <row r="3363" spans="1:7" ht="19.899999999999999" customHeight="1">
      <c r="A3363" s="515">
        <f t="shared" si="1052"/>
        <v>0</v>
      </c>
      <c r="B3363" s="478">
        <f t="shared" si="1053"/>
        <v>0</v>
      </c>
      <c r="C3363" s="478"/>
      <c r="D3363" s="484"/>
      <c r="E3363" s="472">
        <f t="shared" si="1054"/>
        <v>0</v>
      </c>
      <c r="F3363" s="475">
        <f>IF(C3363="",0,IFERROR(VLOOKUP(COUNTIF($A$1:A3363,"ANALISIS DE PRECIOS"),T_Rendimiento_Equipo,5,FALSE),0))</f>
        <v>0</v>
      </c>
      <c r="G3363" s="472">
        <f t="shared" si="1055"/>
        <v>0</v>
      </c>
    </row>
    <row r="3364" spans="1:7" ht="19.899999999999999" customHeight="1">
      <c r="A3364" s="516"/>
      <c r="B3364" s="459"/>
      <c r="C3364" s="163"/>
      <c r="D3364" s="459"/>
      <c r="E3364" s="460"/>
      <c r="F3364" s="650" t="s">
        <v>27</v>
      </c>
      <c r="G3364" s="518">
        <f>SUBTOTAL(9,G3357:G3363)</f>
        <v>0</v>
      </c>
    </row>
    <row r="3365" spans="1:7" ht="19.899999999999999" customHeight="1">
      <c r="A3365" s="513"/>
      <c r="B3365" s="163"/>
      <c r="C3365" s="455" t="s">
        <v>1013</v>
      </c>
      <c r="D3365" s="459"/>
      <c r="E3365" s="460"/>
      <c r="F3365" s="461"/>
      <c r="G3365" s="514"/>
    </row>
    <row r="3366" spans="1:7" ht="19.899999999999999" customHeight="1">
      <c r="A3366" s="677" t="s">
        <v>575</v>
      </c>
      <c r="B3366" s="678"/>
      <c r="C3366" s="679" t="s">
        <v>0</v>
      </c>
      <c r="D3366" s="679" t="s">
        <v>1865</v>
      </c>
      <c r="E3366" s="681" t="s">
        <v>23</v>
      </c>
      <c r="F3366" s="683" t="s">
        <v>24</v>
      </c>
      <c r="G3366" s="685" t="s">
        <v>25</v>
      </c>
    </row>
    <row r="3367" spans="1:7" ht="19.899999999999999" customHeight="1">
      <c r="A3367" s="477" t="s">
        <v>576</v>
      </c>
      <c r="B3367" s="477" t="s">
        <v>577</v>
      </c>
      <c r="C3367" s="680"/>
      <c r="D3367" s="680"/>
      <c r="E3367" s="682"/>
      <c r="F3367" s="684"/>
      <c r="G3367" s="686"/>
    </row>
    <row r="3368" spans="1:7" ht="19.899999999999999" customHeight="1">
      <c r="A3368" s="515">
        <f t="shared" ref="A3368:A3378" si="1056">IFERROR(VLOOKUP(C3368,T_Insumos,4,FALSE),0)</f>
        <v>0</v>
      </c>
      <c r="B3368" s="478">
        <f t="shared" ref="B3368:B3378" si="1057">IFERROR(VLOOKUP(C3368,T_Insumos,5,FALSE),0)</f>
        <v>0</v>
      </c>
      <c r="C3368" s="478"/>
      <c r="D3368" s="526">
        <f t="shared" ref="D3368:D3378" si="1058">IFERROR(VLOOKUP(C3368,T_Insumos,2,FALSE),0)</f>
        <v>0</v>
      </c>
      <c r="E3368" s="470"/>
      <c r="F3368" s="472">
        <f t="shared" ref="F3368:F3378" si="1059">IFERROR(VLOOKUP(C3368,T_Insumos,3,FALSE),0)</f>
        <v>0</v>
      </c>
      <c r="G3368" s="472">
        <f>ROUND(E3368*F3368,2)</f>
        <v>0</v>
      </c>
    </row>
    <row r="3369" spans="1:7" ht="19.899999999999999" customHeight="1">
      <c r="A3369" s="515">
        <f t="shared" si="1056"/>
        <v>0</v>
      </c>
      <c r="B3369" s="478">
        <f t="shared" si="1057"/>
        <v>0</v>
      </c>
      <c r="C3369" s="478"/>
      <c r="D3369" s="526">
        <f t="shared" si="1058"/>
        <v>0</v>
      </c>
      <c r="E3369" s="470"/>
      <c r="F3369" s="472">
        <f t="shared" si="1059"/>
        <v>0</v>
      </c>
      <c r="G3369" s="472">
        <f t="shared" ref="G3369:G3378" si="1060">ROUND(E3369*F3369,2)</f>
        <v>0</v>
      </c>
    </row>
    <row r="3370" spans="1:7" ht="19.899999999999999" customHeight="1">
      <c r="A3370" s="515">
        <f t="shared" si="1056"/>
        <v>0</v>
      </c>
      <c r="B3370" s="478">
        <f t="shared" si="1057"/>
        <v>0</v>
      </c>
      <c r="C3370" s="478"/>
      <c r="D3370" s="526">
        <f t="shared" si="1058"/>
        <v>0</v>
      </c>
      <c r="E3370" s="470"/>
      <c r="F3370" s="472">
        <f t="shared" si="1059"/>
        <v>0</v>
      </c>
      <c r="G3370" s="472">
        <f t="shared" si="1060"/>
        <v>0</v>
      </c>
    </row>
    <row r="3371" spans="1:7" ht="19.899999999999999" customHeight="1">
      <c r="A3371" s="515">
        <f t="shared" si="1056"/>
        <v>0</v>
      </c>
      <c r="B3371" s="478">
        <f t="shared" si="1057"/>
        <v>0</v>
      </c>
      <c r="C3371" s="478"/>
      <c r="D3371" s="526">
        <f t="shared" si="1058"/>
        <v>0</v>
      </c>
      <c r="E3371" s="470"/>
      <c r="F3371" s="472">
        <f t="shared" si="1059"/>
        <v>0</v>
      </c>
      <c r="G3371" s="472">
        <f t="shared" si="1060"/>
        <v>0</v>
      </c>
    </row>
    <row r="3372" spans="1:7" ht="19.899999999999999" customHeight="1">
      <c r="A3372" s="515">
        <f t="shared" si="1056"/>
        <v>0</v>
      </c>
      <c r="B3372" s="478">
        <f t="shared" si="1057"/>
        <v>0</v>
      </c>
      <c r="C3372" s="478"/>
      <c r="D3372" s="526">
        <f t="shared" si="1058"/>
        <v>0</v>
      </c>
      <c r="E3372" s="470"/>
      <c r="F3372" s="472">
        <f t="shared" si="1059"/>
        <v>0</v>
      </c>
      <c r="G3372" s="472">
        <f t="shared" si="1060"/>
        <v>0</v>
      </c>
    </row>
    <row r="3373" spans="1:7" ht="19.899999999999999" customHeight="1">
      <c r="A3373" s="515">
        <f t="shared" si="1056"/>
        <v>0</v>
      </c>
      <c r="B3373" s="478">
        <f t="shared" si="1057"/>
        <v>0</v>
      </c>
      <c r="C3373" s="478"/>
      <c r="D3373" s="526">
        <f t="shared" si="1058"/>
        <v>0</v>
      </c>
      <c r="E3373" s="470"/>
      <c r="F3373" s="472">
        <f t="shared" si="1059"/>
        <v>0</v>
      </c>
      <c r="G3373" s="472">
        <f t="shared" si="1060"/>
        <v>0</v>
      </c>
    </row>
    <row r="3374" spans="1:7" ht="19.899999999999999" customHeight="1">
      <c r="A3374" s="515">
        <f t="shared" si="1056"/>
        <v>0</v>
      </c>
      <c r="B3374" s="478">
        <f t="shared" si="1057"/>
        <v>0</v>
      </c>
      <c r="C3374" s="478"/>
      <c r="D3374" s="526">
        <f t="shared" si="1058"/>
        <v>0</v>
      </c>
      <c r="E3374" s="470"/>
      <c r="F3374" s="472">
        <f t="shared" si="1059"/>
        <v>0</v>
      </c>
      <c r="G3374" s="472">
        <f t="shared" si="1060"/>
        <v>0</v>
      </c>
    </row>
    <row r="3375" spans="1:7" ht="19.899999999999999" customHeight="1">
      <c r="A3375" s="515">
        <f t="shared" si="1056"/>
        <v>0</v>
      </c>
      <c r="B3375" s="478">
        <f t="shared" si="1057"/>
        <v>0</v>
      </c>
      <c r="C3375" s="478"/>
      <c r="D3375" s="526">
        <f t="shared" si="1058"/>
        <v>0</v>
      </c>
      <c r="E3375" s="470"/>
      <c r="F3375" s="472">
        <f t="shared" si="1059"/>
        <v>0</v>
      </c>
      <c r="G3375" s="472">
        <f t="shared" si="1060"/>
        <v>0</v>
      </c>
    </row>
    <row r="3376" spans="1:7" ht="19.899999999999999" customHeight="1">
      <c r="A3376" s="515">
        <f t="shared" si="1056"/>
        <v>0</v>
      </c>
      <c r="B3376" s="478">
        <f t="shared" si="1057"/>
        <v>0</v>
      </c>
      <c r="C3376" s="478"/>
      <c r="D3376" s="526">
        <f t="shared" si="1058"/>
        <v>0</v>
      </c>
      <c r="E3376" s="470"/>
      <c r="F3376" s="472">
        <f t="shared" si="1059"/>
        <v>0</v>
      </c>
      <c r="G3376" s="472">
        <f t="shared" si="1060"/>
        <v>0</v>
      </c>
    </row>
    <row r="3377" spans="1:7" ht="19.899999999999999" customHeight="1">
      <c r="A3377" s="515">
        <f t="shared" si="1056"/>
        <v>0</v>
      </c>
      <c r="B3377" s="478">
        <f t="shared" si="1057"/>
        <v>0</v>
      </c>
      <c r="C3377" s="478"/>
      <c r="D3377" s="526">
        <f t="shared" si="1058"/>
        <v>0</v>
      </c>
      <c r="E3377" s="470"/>
      <c r="F3377" s="472">
        <f t="shared" si="1059"/>
        <v>0</v>
      </c>
      <c r="G3377" s="472">
        <f t="shared" si="1060"/>
        <v>0</v>
      </c>
    </row>
    <row r="3378" spans="1:7" ht="19.899999999999999" customHeight="1">
      <c r="A3378" s="515">
        <f t="shared" si="1056"/>
        <v>0</v>
      </c>
      <c r="B3378" s="478">
        <f t="shared" si="1057"/>
        <v>0</v>
      </c>
      <c r="C3378" s="478"/>
      <c r="D3378" s="526">
        <f t="shared" si="1058"/>
        <v>0</v>
      </c>
      <c r="E3378" s="470"/>
      <c r="F3378" s="472">
        <f t="shared" si="1059"/>
        <v>0</v>
      </c>
      <c r="G3378" s="472">
        <f t="shared" si="1060"/>
        <v>0</v>
      </c>
    </row>
    <row r="3379" spans="1:7" ht="19.899999999999999" customHeight="1">
      <c r="A3379" s="513"/>
      <c r="B3379" s="163"/>
      <c r="C3379" s="163"/>
      <c r="D3379" s="459"/>
      <c r="E3379" s="460"/>
      <c r="F3379" s="650" t="s">
        <v>28</v>
      </c>
      <c r="G3379" s="518">
        <f>SUBTOTAL(9,G3368:G3378)</f>
        <v>0</v>
      </c>
    </row>
    <row r="3380" spans="1:7" ht="19.899999999999999" customHeight="1">
      <c r="A3380" s="513"/>
      <c r="B3380" s="163"/>
      <c r="C3380" s="455" t="s">
        <v>1014</v>
      </c>
      <c r="D3380" s="459"/>
      <c r="E3380" s="460"/>
      <c r="F3380" s="461"/>
      <c r="G3380" s="514"/>
    </row>
    <row r="3381" spans="1:7" ht="19.899999999999999" customHeight="1">
      <c r="A3381" s="677" t="s">
        <v>575</v>
      </c>
      <c r="B3381" s="678"/>
      <c r="C3381" s="679" t="s">
        <v>0</v>
      </c>
      <c r="D3381" s="679" t="s">
        <v>1865</v>
      </c>
      <c r="E3381" s="681" t="s">
        <v>23</v>
      </c>
      <c r="F3381" s="683" t="s">
        <v>24</v>
      </c>
      <c r="G3381" s="685" t="s">
        <v>25</v>
      </c>
    </row>
    <row r="3382" spans="1:7" ht="19.899999999999999" customHeight="1">
      <c r="A3382" s="477" t="s">
        <v>576</v>
      </c>
      <c r="B3382" s="477" t="s">
        <v>577</v>
      </c>
      <c r="C3382" s="680"/>
      <c r="D3382" s="680"/>
      <c r="E3382" s="682"/>
      <c r="F3382" s="684"/>
      <c r="G3382" s="686"/>
    </row>
    <row r="3383" spans="1:7" ht="19.899999999999999" customHeight="1">
      <c r="A3383" s="515">
        <f>IFERROR(VLOOKUP(C3383,T_Insumos,4,FALSE),0)</f>
        <v>0</v>
      </c>
      <c r="B3383" s="478">
        <f>IFERROR(VLOOKUP(C3383,T_Insumos,5,FALSE),0)</f>
        <v>0</v>
      </c>
      <c r="C3383" s="469"/>
      <c r="D3383" s="526">
        <f>IF(C3383=0,0,"$/tnkm")</f>
        <v>0</v>
      </c>
      <c r="E3383" s="470"/>
      <c r="F3383" s="472">
        <f>IFERROR(VLOOKUP(C3383,T_Insumos,3,FALSE),0)</f>
        <v>0</v>
      </c>
      <c r="G3383" s="472">
        <f>ROUND(E3383*F3383,2)</f>
        <v>0</v>
      </c>
    </row>
    <row r="3384" spans="1:7" ht="19.899999999999999" customHeight="1">
      <c r="A3384" s="515">
        <f>IFERROR(VLOOKUP(C3384,T_Insumos,4,FALSE),0)</f>
        <v>0</v>
      </c>
      <c r="B3384" s="478">
        <f>IFERROR(VLOOKUP(C3384,T_Insumos,5,FALSE),0)</f>
        <v>0</v>
      </c>
      <c r="C3384" s="469"/>
      <c r="D3384" s="526">
        <f>IF(C3384=0,0,"$/tnkm")</f>
        <v>0</v>
      </c>
      <c r="E3384" s="486"/>
      <c r="F3384" s="472">
        <f>IFERROR(VLOOKUP(C3384,T_Insumos,3,FALSE),0)</f>
        <v>0</v>
      </c>
      <c r="G3384" s="472">
        <f t="shared" ref="G3384" si="1061">ROUND(E3384*F3384,2)</f>
        <v>0</v>
      </c>
    </row>
    <row r="3385" spans="1:7" ht="19.899999999999999" customHeight="1">
      <c r="A3385" s="513"/>
      <c r="B3385" s="163"/>
      <c r="C3385" s="163"/>
      <c r="D3385" s="459"/>
      <c r="E3385" s="460"/>
      <c r="F3385" s="650" t="s">
        <v>1015</v>
      </c>
      <c r="G3385" s="518">
        <f>SUBTOTAL(9,G3383:G3384)</f>
        <v>0</v>
      </c>
    </row>
    <row r="3386" spans="1:7" ht="19.899999999999999" customHeight="1">
      <c r="A3386" s="516"/>
      <c r="B3386" s="459"/>
      <c r="C3386" s="163"/>
      <c r="D3386" s="459"/>
      <c r="E3386" s="460"/>
      <c r="F3386" s="461"/>
      <c r="G3386" s="514"/>
    </row>
    <row r="3387" spans="1:7" ht="19.899999999999999" customHeight="1">
      <c r="A3387" s="574" t="str">
        <f>B3321</f>
        <v>6.2.6</v>
      </c>
      <c r="B3387" s="571" t="str">
        <f ca="1">C3321</f>
        <v>Malla de acero</v>
      </c>
      <c r="C3387" s="459"/>
      <c r="D3387" s="459" t="s">
        <v>1831</v>
      </c>
      <c r="E3387" s="572"/>
      <c r="F3387" s="573" t="str">
        <f ca="1">"$/"&amp;G3321</f>
        <v>$/kg</v>
      </c>
      <c r="G3387" s="523">
        <f>SUBTOTAL(9,G3344:G3386)</f>
        <v>0</v>
      </c>
    </row>
    <row r="3388" spans="1:7" ht="19.899999999999999" customHeight="1">
      <c r="A3388" s="519"/>
      <c r="B3388" s="520"/>
      <c r="C3388" s="521"/>
      <c r="D3388" s="521" t="s">
        <v>2041</v>
      </c>
      <c r="E3388" s="522"/>
      <c r="F3388" s="575" t="str">
        <f ca="1">"$/"&amp;G3321</f>
        <v>$/kg</v>
      </c>
      <c r="G3388" s="523">
        <f>ROUND(G3387*Coeficiente_Paso,2)</f>
        <v>0</v>
      </c>
    </row>
    <row r="3389" spans="1:7" ht="19.899999999999999" customHeight="1">
      <c r="A3389" s="163"/>
      <c r="B3389" s="163"/>
      <c r="C3389" s="163"/>
      <c r="D3389" s="163"/>
      <c r="E3389" s="163"/>
      <c r="F3389" s="163"/>
      <c r="G3389" s="163"/>
    </row>
    <row r="3390" spans="1:7" ht="19.899999999999999" customHeight="1">
      <c r="A3390" s="687" t="s">
        <v>30</v>
      </c>
      <c r="B3390" s="688"/>
      <c r="C3390" s="688"/>
      <c r="D3390" s="688"/>
      <c r="E3390" s="688"/>
      <c r="F3390" s="688"/>
      <c r="G3390" s="689"/>
    </row>
    <row r="3391" spans="1:7" ht="19.899999999999999" customHeight="1">
      <c r="A3391" s="502" t="s">
        <v>710</v>
      </c>
      <c r="B3391" s="453" t="str">
        <f>Comitente</f>
        <v>DEPARTAMENTO DE HIDRAULICA</v>
      </c>
      <c r="C3391" s="454"/>
      <c r="D3391" s="455"/>
      <c r="E3391" s="455"/>
      <c r="F3391" s="456"/>
      <c r="G3391" s="503"/>
    </row>
    <row r="3392" spans="1:7" ht="19.899999999999999" customHeight="1">
      <c r="A3392" s="502" t="s">
        <v>711</v>
      </c>
      <c r="B3392" s="453">
        <f>Contratista</f>
        <v>0</v>
      </c>
      <c r="C3392" s="457"/>
      <c r="D3392" s="457"/>
      <c r="E3392" s="457"/>
      <c r="F3392" s="453"/>
      <c r="G3392" s="504"/>
    </row>
    <row r="3393" spans="1:7" ht="19.899999999999999" customHeight="1">
      <c r="A3393" s="502" t="s">
        <v>20</v>
      </c>
      <c r="B3393" s="453" t="str">
        <f>Obra</f>
        <v>MEJORA DE LA RED DE RIEGO DEL VALLE DE JÁCHAL</v>
      </c>
      <c r="C3393" s="457"/>
      <c r="D3393" s="457"/>
      <c r="E3393" s="457"/>
      <c r="F3393" s="453" t="s">
        <v>31</v>
      </c>
      <c r="G3393" s="504" t="str">
        <f>Fecha_Base</f>
        <v>XX/07/2020</v>
      </c>
    </row>
    <row r="3394" spans="1:7" ht="19.899999999999999" customHeight="1">
      <c r="A3394" s="505" t="s">
        <v>709</v>
      </c>
      <c r="B3394" s="458" t="str">
        <f>Ubicación</f>
        <v>JACHAL</v>
      </c>
      <c r="C3394" s="458"/>
      <c r="D3394" s="459"/>
      <c r="E3394" s="460"/>
      <c r="F3394" s="461"/>
      <c r="G3394" s="506"/>
    </row>
    <row r="3395" spans="1:7" ht="19.899999999999999" customHeight="1">
      <c r="A3395" s="505" t="s">
        <v>32</v>
      </c>
      <c r="B3395" s="462">
        <f>IFERROR(VALUE(LEFT(B3396,FIND(".",B3396)-1)),"")</f>
        <v>6</v>
      </c>
      <c r="C3395" s="163" t="str">
        <f ca="1">IFERROR(VLOOKUP(B3395,T_Computo_Presupuesto,2,FALSE),0)</f>
        <v>CANAL DEL NORTE</v>
      </c>
      <c r="D3395" s="163"/>
      <c r="E3395" s="460"/>
      <c r="F3395" s="461"/>
      <c r="G3395" s="506"/>
    </row>
    <row r="3396" spans="1:7" ht="19.899999999999999" customHeight="1">
      <c r="A3396" s="505" t="s">
        <v>21</v>
      </c>
      <c r="B3396" s="463" t="str">
        <f>IFERROR(VLOOKUP(COUNTIF($A$1:A3396,"ANALISIS DE PRECIOS"),T_NumeroItem,2,FALSE),"")</f>
        <v>6.2.7</v>
      </c>
      <c r="C3396" s="690" t="str">
        <f ca="1">IFERROR(VLOOKUP(B3396,T_Computo_Presupuesto,2,FALSE),0)</f>
        <v>Remocion recubrimiento dañado y limpieza en pila, fondo losa y estribos</v>
      </c>
      <c r="D3396" s="690"/>
      <c r="E3396" s="690"/>
      <c r="F3396" s="458" t="s">
        <v>22</v>
      </c>
      <c r="G3396" s="507" t="str">
        <f ca="1">IFERROR(VLOOKUP(B3396,T_Computo_Presupuesto,4,FALSE),0)</f>
        <v>m2</v>
      </c>
    </row>
    <row r="3397" spans="1:7" ht="19.899999999999999" customHeight="1">
      <c r="A3397" s="505"/>
      <c r="B3397" s="458"/>
      <c r="C3397" s="163"/>
      <c r="D3397" s="459"/>
      <c r="E3397" s="460"/>
      <c r="F3397" s="163"/>
      <c r="G3397" s="508"/>
    </row>
    <row r="3398" spans="1:7" ht="19.899999999999999" customHeight="1">
      <c r="A3398" s="509"/>
      <c r="B3398" s="464"/>
      <c r="C3398" s="465" t="s">
        <v>998</v>
      </c>
      <c r="D3398" s="464"/>
      <c r="E3398" s="464"/>
      <c r="F3398" s="464"/>
      <c r="G3398" s="510"/>
    </row>
    <row r="3399" spans="1:7" ht="19.899999999999999" customHeight="1">
      <c r="A3399" s="505"/>
      <c r="B3399" s="466"/>
      <c r="C3399" s="163"/>
      <c r="D3399" s="459"/>
      <c r="E3399" s="460"/>
      <c r="F3399" s="458"/>
      <c r="G3399" s="507"/>
    </row>
    <row r="3400" spans="1:7" ht="19.899999999999999" customHeight="1">
      <c r="A3400" s="505"/>
      <c r="B3400" s="466"/>
      <c r="C3400" s="467" t="s">
        <v>999</v>
      </c>
      <c r="D3400" s="468" t="s">
        <v>23</v>
      </c>
      <c r="E3400" s="468" t="s">
        <v>1000</v>
      </c>
      <c r="F3400" s="468" t="s">
        <v>1001</v>
      </c>
      <c r="G3400" s="467" t="s">
        <v>1002</v>
      </c>
    </row>
    <row r="3401" spans="1:7" ht="19.899999999999999" customHeight="1">
      <c r="A3401" s="505"/>
      <c r="B3401" s="466"/>
      <c r="C3401" s="469"/>
      <c r="D3401" s="470"/>
      <c r="E3401" s="471">
        <f t="shared" ref="E3401:E3410" si="1062">IFERROR(VLOOKUP(C3401,T_Equipos,4,FALSE),0)</f>
        <v>0</v>
      </c>
      <c r="F3401" s="472">
        <f t="shared" ref="F3401:F3410" si="1063">IFERROR(VLOOKUP(C3401,T_Equipos,5,FALSE),0)</f>
        <v>0</v>
      </c>
      <c r="G3401" s="472">
        <f>ROUND(D3401*F3401,2)</f>
        <v>0</v>
      </c>
    </row>
    <row r="3402" spans="1:7" ht="19.899999999999999" customHeight="1">
      <c r="A3402" s="505"/>
      <c r="B3402" s="466"/>
      <c r="C3402" s="469"/>
      <c r="D3402" s="470"/>
      <c r="E3402" s="471">
        <f t="shared" si="1062"/>
        <v>0</v>
      </c>
      <c r="F3402" s="472">
        <f t="shared" si="1063"/>
        <v>0</v>
      </c>
      <c r="G3402" s="472">
        <f>ROUND(D3402*F3402,2)</f>
        <v>0</v>
      </c>
    </row>
    <row r="3403" spans="1:7" ht="19.899999999999999" customHeight="1">
      <c r="A3403" s="505"/>
      <c r="B3403" s="466"/>
      <c r="C3403" s="469"/>
      <c r="D3403" s="470"/>
      <c r="E3403" s="471">
        <f t="shared" si="1062"/>
        <v>0</v>
      </c>
      <c r="F3403" s="472">
        <f t="shared" si="1063"/>
        <v>0</v>
      </c>
      <c r="G3403" s="472">
        <f>ROUND(D3403*F3403,2)</f>
        <v>0</v>
      </c>
    </row>
    <row r="3404" spans="1:7" ht="19.899999999999999" customHeight="1">
      <c r="A3404" s="505"/>
      <c r="B3404" s="466"/>
      <c r="C3404" s="469"/>
      <c r="D3404" s="470"/>
      <c r="E3404" s="471">
        <f t="shared" si="1062"/>
        <v>0</v>
      </c>
      <c r="F3404" s="472">
        <f t="shared" si="1063"/>
        <v>0</v>
      </c>
      <c r="G3404" s="472">
        <f>ROUND(D3404*F3404,2)</f>
        <v>0</v>
      </c>
    </row>
    <row r="3405" spans="1:7" ht="19.899999999999999" customHeight="1">
      <c r="A3405" s="505"/>
      <c r="B3405" s="466"/>
      <c r="C3405" s="469"/>
      <c r="D3405" s="470"/>
      <c r="E3405" s="471">
        <f t="shared" si="1062"/>
        <v>0</v>
      </c>
      <c r="F3405" s="472">
        <f t="shared" si="1063"/>
        <v>0</v>
      </c>
      <c r="G3405" s="472">
        <f t="shared" ref="G3405:G3410" si="1064">ROUND(D3405*F3405,2)</f>
        <v>0</v>
      </c>
    </row>
    <row r="3406" spans="1:7" ht="19.899999999999999" customHeight="1">
      <c r="A3406" s="505"/>
      <c r="B3406" s="466"/>
      <c r="C3406" s="469"/>
      <c r="D3406" s="470"/>
      <c r="E3406" s="471">
        <f t="shared" si="1062"/>
        <v>0</v>
      </c>
      <c r="F3406" s="472">
        <f t="shared" si="1063"/>
        <v>0</v>
      </c>
      <c r="G3406" s="472">
        <f t="shared" si="1064"/>
        <v>0</v>
      </c>
    </row>
    <row r="3407" spans="1:7" ht="19.899999999999999" customHeight="1">
      <c r="A3407" s="505"/>
      <c r="B3407" s="466"/>
      <c r="C3407" s="469"/>
      <c r="D3407" s="470"/>
      <c r="E3407" s="471">
        <f t="shared" si="1062"/>
        <v>0</v>
      </c>
      <c r="F3407" s="472">
        <f t="shared" si="1063"/>
        <v>0</v>
      </c>
      <c r="G3407" s="472">
        <f t="shared" si="1064"/>
        <v>0</v>
      </c>
    </row>
    <row r="3408" spans="1:7" ht="19.899999999999999" customHeight="1">
      <c r="A3408" s="505"/>
      <c r="B3408" s="466"/>
      <c r="C3408" s="469"/>
      <c r="D3408" s="470"/>
      <c r="E3408" s="471">
        <f t="shared" si="1062"/>
        <v>0</v>
      </c>
      <c r="F3408" s="472">
        <f t="shared" si="1063"/>
        <v>0</v>
      </c>
      <c r="G3408" s="472">
        <f t="shared" si="1064"/>
        <v>0</v>
      </c>
    </row>
    <row r="3409" spans="1:7" ht="19.899999999999999" customHeight="1">
      <c r="A3409" s="505"/>
      <c r="B3409" s="466"/>
      <c r="C3409" s="469"/>
      <c r="D3409" s="470"/>
      <c r="E3409" s="471">
        <f t="shared" si="1062"/>
        <v>0</v>
      </c>
      <c r="F3409" s="472">
        <f t="shared" si="1063"/>
        <v>0</v>
      </c>
      <c r="G3409" s="472">
        <f t="shared" si="1064"/>
        <v>0</v>
      </c>
    </row>
    <row r="3410" spans="1:7" ht="19.899999999999999" customHeight="1">
      <c r="A3410" s="505"/>
      <c r="B3410" s="466"/>
      <c r="C3410" s="469"/>
      <c r="D3410" s="470"/>
      <c r="E3410" s="471">
        <f t="shared" si="1062"/>
        <v>0</v>
      </c>
      <c r="F3410" s="472">
        <f t="shared" si="1063"/>
        <v>0</v>
      </c>
      <c r="G3410" s="472">
        <f t="shared" si="1064"/>
        <v>0</v>
      </c>
    </row>
    <row r="3411" spans="1:7" ht="19.899999999999999" customHeight="1">
      <c r="A3411" s="505"/>
      <c r="B3411" s="466"/>
      <c r="C3411" s="163"/>
      <c r="D3411" s="163"/>
      <c r="E3411" s="473"/>
      <c r="F3411" s="458"/>
      <c r="G3411" s="507"/>
    </row>
    <row r="3412" spans="1:7" ht="19.899999999999999" customHeight="1">
      <c r="A3412" s="505"/>
      <c r="B3412" s="163"/>
      <c r="C3412" s="455" t="s">
        <v>1003</v>
      </c>
      <c r="D3412" s="458" t="s">
        <v>1000</v>
      </c>
      <c r="E3412" s="524">
        <f>SUMPRODUCT(D3401:D3410,E3401:E3410)</f>
        <v>0</v>
      </c>
      <c r="F3412" s="458" t="s">
        <v>1004</v>
      </c>
      <c r="G3412" s="525">
        <f>SUM(G3401:G3410)</f>
        <v>0</v>
      </c>
    </row>
    <row r="3413" spans="1:7" ht="19.899999999999999" customHeight="1">
      <c r="A3413" s="505"/>
      <c r="B3413" s="466"/>
      <c r="C3413" s="474"/>
      <c r="D3413" s="473"/>
      <c r="E3413" s="460"/>
      <c r="F3413" s="458"/>
      <c r="G3413" s="511"/>
    </row>
    <row r="3414" spans="1:7" ht="19.899999999999999" customHeight="1">
      <c r="A3414" s="512"/>
      <c r="B3414" s="466"/>
      <c r="C3414" s="458" t="s">
        <v>1005</v>
      </c>
      <c r="D3414" s="475"/>
      <c r="E3414" s="476" t="str">
        <f ca="1">G3396&amp;"/día"</f>
        <v>m2/día</v>
      </c>
      <c r="F3414" s="452"/>
      <c r="G3414" s="507"/>
    </row>
    <row r="3415" spans="1:7" ht="19.899999999999999" customHeight="1">
      <c r="A3415" s="505"/>
      <c r="B3415" s="466"/>
      <c r="C3415" s="163"/>
      <c r="D3415" s="459"/>
      <c r="E3415" s="460"/>
      <c r="F3415" s="458"/>
      <c r="G3415" s="507"/>
    </row>
    <row r="3416" spans="1:7" ht="19.899999999999999" customHeight="1">
      <c r="A3416" s="677" t="s">
        <v>575</v>
      </c>
      <c r="B3416" s="678"/>
      <c r="C3416" s="679" t="s">
        <v>0</v>
      </c>
      <c r="D3416" s="691" t="s">
        <v>1864</v>
      </c>
      <c r="E3416" s="691" t="s">
        <v>1863</v>
      </c>
      <c r="F3416" s="683" t="s">
        <v>1006</v>
      </c>
      <c r="G3416" s="685" t="s">
        <v>25</v>
      </c>
    </row>
    <row r="3417" spans="1:7" ht="19.899999999999999" customHeight="1">
      <c r="A3417" s="477" t="s">
        <v>576</v>
      </c>
      <c r="B3417" s="477" t="s">
        <v>577</v>
      </c>
      <c r="C3417" s="680"/>
      <c r="D3417" s="692"/>
      <c r="E3417" s="682"/>
      <c r="F3417" s="684"/>
      <c r="G3417" s="686"/>
    </row>
    <row r="3418" spans="1:7" ht="19.899999999999999" customHeight="1">
      <c r="A3418" s="513"/>
      <c r="B3418" s="163"/>
      <c r="C3418" s="455" t="s">
        <v>1007</v>
      </c>
      <c r="D3418" s="460"/>
      <c r="E3418" s="460"/>
      <c r="F3418" s="163"/>
      <c r="G3418" s="514"/>
    </row>
    <row r="3419" spans="1:7" ht="19.899999999999999" customHeight="1">
      <c r="A3419" s="515">
        <f t="shared" ref="A3419:A3427" si="1065">IFERROR(VLOOKUP(C3419,T_Insumos,4,FALSE),0)</f>
        <v>0</v>
      </c>
      <c r="B3419" s="478">
        <f t="shared" ref="B3419:B3427" si="1066">IFERROR(VLOOKUP(C3419,T_Insumos,5,FALSE),0)</f>
        <v>0</v>
      </c>
      <c r="C3419" s="469"/>
      <c r="D3419" s="479">
        <f t="shared" ref="D3419:D3427" si="1067">IFERROR(VLOOKUP(C3419,T_Insumos,3,FALSE),0)</f>
        <v>0</v>
      </c>
      <c r="E3419" s="472">
        <f>D3419*$G$23</f>
        <v>0</v>
      </c>
      <c r="F3419" s="475">
        <f>IF(C3419="",0,IFERROR(VLOOKUP(COUNTIF($A$1:A3419,"ANALISIS DE PRECIOS"),T_Rendimiento_Equipo,5,FALSE),0))</f>
        <v>0</v>
      </c>
      <c r="G3419" s="472">
        <f>IFERROR(ROUND(E3419/F3419,2),0)</f>
        <v>0</v>
      </c>
    </row>
    <row r="3420" spans="1:7" ht="19.899999999999999" customHeight="1">
      <c r="A3420" s="515">
        <f t="shared" si="1065"/>
        <v>0</v>
      </c>
      <c r="B3420" s="478">
        <f t="shared" si="1066"/>
        <v>0</v>
      </c>
      <c r="C3420" s="469"/>
      <c r="D3420" s="479">
        <f t="shared" si="1067"/>
        <v>0</v>
      </c>
      <c r="E3420" s="472">
        <f t="shared" ref="E3420:E3427" si="1068">D3420*$G$23</f>
        <v>0</v>
      </c>
      <c r="F3420" s="475">
        <f>IF(C3420="",0,IFERROR(VLOOKUP(COUNTIF($A$1:A3420,"ANALISIS DE PRECIOS"),T_Rendimiento_Equipo,5,FALSE),0))</f>
        <v>0</v>
      </c>
      <c r="G3420" s="472">
        <f t="shared" ref="G3420:G3427" si="1069">IFERROR(ROUND(E3420/F3420,2),0)</f>
        <v>0</v>
      </c>
    </row>
    <row r="3421" spans="1:7" ht="19.899999999999999" customHeight="1">
      <c r="A3421" s="515">
        <f t="shared" si="1065"/>
        <v>0</v>
      </c>
      <c r="B3421" s="478">
        <f t="shared" si="1066"/>
        <v>0</v>
      </c>
      <c r="C3421" s="480"/>
      <c r="D3421" s="479">
        <f t="shared" si="1067"/>
        <v>0</v>
      </c>
      <c r="E3421" s="472">
        <f t="shared" si="1068"/>
        <v>0</v>
      </c>
      <c r="F3421" s="475">
        <f>IF(C3421="",0,IFERROR(VLOOKUP(COUNTIF($A$1:A3421,"ANALISIS DE PRECIOS"),T_Rendimiento_Equipo,5,FALSE),0))</f>
        <v>0</v>
      </c>
      <c r="G3421" s="472">
        <f t="shared" si="1069"/>
        <v>0</v>
      </c>
    </row>
    <row r="3422" spans="1:7" ht="19.899999999999999" customHeight="1">
      <c r="A3422" s="515">
        <f t="shared" si="1065"/>
        <v>0</v>
      </c>
      <c r="B3422" s="478">
        <f t="shared" si="1066"/>
        <v>0</v>
      </c>
      <c r="C3422" s="480"/>
      <c r="D3422" s="479">
        <f t="shared" si="1067"/>
        <v>0</v>
      </c>
      <c r="E3422" s="472">
        <f t="shared" si="1068"/>
        <v>0</v>
      </c>
      <c r="F3422" s="475">
        <f>IF(C3422="",0,IFERROR(VLOOKUP(COUNTIF($A$1:A3422,"ANALISIS DE PRECIOS"),T_Rendimiento_Equipo,5,FALSE),0))</f>
        <v>0</v>
      </c>
      <c r="G3422" s="472">
        <f t="shared" si="1069"/>
        <v>0</v>
      </c>
    </row>
    <row r="3423" spans="1:7" ht="19.899999999999999" customHeight="1">
      <c r="A3423" s="515">
        <f t="shared" si="1065"/>
        <v>0</v>
      </c>
      <c r="B3423" s="478">
        <f t="shared" si="1066"/>
        <v>0</v>
      </c>
      <c r="C3423" s="480"/>
      <c r="D3423" s="479">
        <f t="shared" si="1067"/>
        <v>0</v>
      </c>
      <c r="E3423" s="472">
        <f t="shared" si="1068"/>
        <v>0</v>
      </c>
      <c r="F3423" s="475">
        <f>IF(C3423="",0,IFERROR(VLOOKUP(COUNTIF($A$1:A3423,"ANALISIS DE PRECIOS"),T_Rendimiento_Equipo,5,FALSE),0))</f>
        <v>0</v>
      </c>
      <c r="G3423" s="472">
        <f t="shared" si="1069"/>
        <v>0</v>
      </c>
    </row>
    <row r="3424" spans="1:7" ht="19.899999999999999" customHeight="1">
      <c r="A3424" s="515">
        <f t="shared" si="1065"/>
        <v>0</v>
      </c>
      <c r="B3424" s="478">
        <f t="shared" si="1066"/>
        <v>0</v>
      </c>
      <c r="C3424" s="480"/>
      <c r="D3424" s="479">
        <f t="shared" si="1067"/>
        <v>0</v>
      </c>
      <c r="E3424" s="472">
        <f t="shared" si="1068"/>
        <v>0</v>
      </c>
      <c r="F3424" s="475">
        <f>IF(C3424="",0,IFERROR(VLOOKUP(COUNTIF($A$1:A3424,"ANALISIS DE PRECIOS"),T_Rendimiento_Equipo,5,FALSE),0))</f>
        <v>0</v>
      </c>
      <c r="G3424" s="472">
        <f t="shared" si="1069"/>
        <v>0</v>
      </c>
    </row>
    <row r="3425" spans="1:7" ht="19.899999999999999" customHeight="1">
      <c r="A3425" s="515">
        <f t="shared" si="1065"/>
        <v>0</v>
      </c>
      <c r="B3425" s="478">
        <f t="shared" si="1066"/>
        <v>0</v>
      </c>
      <c r="C3425" s="480"/>
      <c r="D3425" s="479">
        <f t="shared" si="1067"/>
        <v>0</v>
      </c>
      <c r="E3425" s="472">
        <f t="shared" si="1068"/>
        <v>0</v>
      </c>
      <c r="F3425" s="475">
        <f>IF(C3425="",0,IFERROR(VLOOKUP(COUNTIF($A$1:A3425,"ANALISIS DE PRECIOS"),T_Rendimiento_Equipo,5,FALSE),0))</f>
        <v>0</v>
      </c>
      <c r="G3425" s="472">
        <f t="shared" si="1069"/>
        <v>0</v>
      </c>
    </row>
    <row r="3426" spans="1:7" ht="19.899999999999999" customHeight="1">
      <c r="A3426" s="515">
        <f t="shared" si="1065"/>
        <v>0</v>
      </c>
      <c r="B3426" s="478">
        <f t="shared" si="1066"/>
        <v>0</v>
      </c>
      <c r="C3426" s="480"/>
      <c r="D3426" s="479">
        <f t="shared" si="1067"/>
        <v>0</v>
      </c>
      <c r="E3426" s="472">
        <f t="shared" si="1068"/>
        <v>0</v>
      </c>
      <c r="F3426" s="475">
        <f>IF(C3426="",0,IFERROR(VLOOKUP(COUNTIF($A$1:A3426,"ANALISIS DE PRECIOS"),T_Rendimiento_Equipo,5,FALSE),0))</f>
        <v>0</v>
      </c>
      <c r="G3426" s="472">
        <f t="shared" si="1069"/>
        <v>0</v>
      </c>
    </row>
    <row r="3427" spans="1:7" ht="19.899999999999999" customHeight="1">
      <c r="A3427" s="515">
        <f t="shared" si="1065"/>
        <v>0</v>
      </c>
      <c r="B3427" s="478">
        <f t="shared" si="1066"/>
        <v>0</v>
      </c>
      <c r="C3427" s="469"/>
      <c r="D3427" s="479">
        <f t="shared" si="1067"/>
        <v>0</v>
      </c>
      <c r="E3427" s="472">
        <f t="shared" si="1068"/>
        <v>0</v>
      </c>
      <c r="F3427" s="475">
        <f>IF(C3427="",0,IFERROR(VLOOKUP(COUNTIF($A$1:A3427,"ANALISIS DE PRECIOS"),T_Rendimiento_Equipo,5,FALSE),0))</f>
        <v>0</v>
      </c>
      <c r="G3427" s="472">
        <f t="shared" si="1069"/>
        <v>0</v>
      </c>
    </row>
    <row r="3428" spans="1:7" ht="19.899999999999999" customHeight="1">
      <c r="A3428" s="516"/>
      <c r="B3428" s="459"/>
      <c r="C3428" s="163"/>
      <c r="D3428" s="459"/>
      <c r="E3428" s="460"/>
      <c r="F3428" s="650" t="s">
        <v>26</v>
      </c>
      <c r="G3428" s="517">
        <f>SUBTOTAL(9,G3419:G3427)</f>
        <v>0</v>
      </c>
    </row>
    <row r="3429" spans="1:7" ht="19.899999999999999" customHeight="1">
      <c r="A3429" s="513"/>
      <c r="B3429" s="163"/>
      <c r="C3429" s="455" t="s">
        <v>712</v>
      </c>
      <c r="D3429" s="459"/>
      <c r="E3429" s="460"/>
      <c r="F3429" s="461"/>
      <c r="G3429" s="514"/>
    </row>
    <row r="3430" spans="1:7" ht="19.899999999999999" customHeight="1">
      <c r="A3430" s="677" t="s">
        <v>575</v>
      </c>
      <c r="B3430" s="678"/>
      <c r="C3430" s="679" t="s">
        <v>0</v>
      </c>
      <c r="D3430" s="681" t="s">
        <v>23</v>
      </c>
      <c r="E3430" s="681" t="s">
        <v>1830</v>
      </c>
      <c r="F3430" s="683" t="s">
        <v>1006</v>
      </c>
      <c r="G3430" s="685" t="s">
        <v>25</v>
      </c>
    </row>
    <row r="3431" spans="1:7" ht="19.899999999999999" customHeight="1">
      <c r="A3431" s="477" t="s">
        <v>576</v>
      </c>
      <c r="B3431" s="477" t="s">
        <v>577</v>
      </c>
      <c r="C3431" s="680"/>
      <c r="D3431" s="682"/>
      <c r="E3431" s="682"/>
      <c r="F3431" s="684"/>
      <c r="G3431" s="686"/>
    </row>
    <row r="3432" spans="1:7" ht="19.899999999999999" customHeight="1">
      <c r="A3432" s="515">
        <f t="shared" ref="A3432:A3438" si="1070">IFERROR(VLOOKUP(C3432,T_Insumos,4,FALSE),0)</f>
        <v>0</v>
      </c>
      <c r="B3432" s="478">
        <f t="shared" ref="B3432:B3438" si="1071">IFERROR(VLOOKUP(C3432,T_Insumos,5,FALSE),0)</f>
        <v>0</v>
      </c>
      <c r="C3432" s="482"/>
      <c r="D3432" s="475"/>
      <c r="E3432" s="472">
        <f t="shared" ref="E3432:E3438" si="1072">IFERROR(VLOOKUP(C3432,T_Insumos,3,FALSE),0)</f>
        <v>0</v>
      </c>
      <c r="F3432" s="475">
        <f>IF(C3432="",0,IFERROR(VLOOKUP(COUNTIF($A$1:A3432,"ANALISIS DE PRECIOS"),T_Rendimiento_Equipo,5,FALSE),0))</f>
        <v>0</v>
      </c>
      <c r="G3432" s="472">
        <f>IFERROR(ROUND(D3432*E3432/F3432,2),0)</f>
        <v>0</v>
      </c>
    </row>
    <row r="3433" spans="1:7" ht="19.899999999999999" customHeight="1">
      <c r="A3433" s="515">
        <f t="shared" si="1070"/>
        <v>0</v>
      </c>
      <c r="B3433" s="478">
        <f t="shared" si="1071"/>
        <v>0</v>
      </c>
      <c r="C3433" s="469"/>
      <c r="D3433" s="475"/>
      <c r="E3433" s="472">
        <f t="shared" si="1072"/>
        <v>0</v>
      </c>
      <c r="F3433" s="475">
        <f>IF(C3433="",0,IFERROR(VLOOKUP(COUNTIF($A$1:A3433,"ANALISIS DE PRECIOS"),T_Rendimiento_Equipo,5,FALSE),0))</f>
        <v>0</v>
      </c>
      <c r="G3433" s="472">
        <f t="shared" ref="G3433:G3438" si="1073">IFERROR(ROUND(D3433*E3433/F3433,2),0)</f>
        <v>0</v>
      </c>
    </row>
    <row r="3434" spans="1:7" ht="19.899999999999999" customHeight="1">
      <c r="A3434" s="515">
        <f t="shared" si="1070"/>
        <v>0</v>
      </c>
      <c r="B3434" s="478">
        <f t="shared" si="1071"/>
        <v>0</v>
      </c>
      <c r="C3434" s="469"/>
      <c r="D3434" s="475"/>
      <c r="E3434" s="472">
        <f t="shared" si="1072"/>
        <v>0</v>
      </c>
      <c r="F3434" s="475">
        <f>IF(C3434="",0,IFERROR(VLOOKUP(COUNTIF($A$1:A3434,"ANALISIS DE PRECIOS"),T_Rendimiento_Equipo,5,FALSE),0))</f>
        <v>0</v>
      </c>
      <c r="G3434" s="472">
        <f t="shared" si="1073"/>
        <v>0</v>
      </c>
    </row>
    <row r="3435" spans="1:7" ht="19.899999999999999" customHeight="1">
      <c r="A3435" s="515">
        <f t="shared" si="1070"/>
        <v>0</v>
      </c>
      <c r="B3435" s="478">
        <f t="shared" si="1071"/>
        <v>0</v>
      </c>
      <c r="C3435" s="469"/>
      <c r="D3435" s="475"/>
      <c r="E3435" s="472">
        <f t="shared" si="1072"/>
        <v>0</v>
      </c>
      <c r="F3435" s="475">
        <f>IF(C3435="",0,IFERROR(VLOOKUP(COUNTIF($A$1:A3435,"ANALISIS DE PRECIOS"),T_Rendimiento_Equipo,5,FALSE),0))</f>
        <v>0</v>
      </c>
      <c r="G3435" s="472">
        <f t="shared" si="1073"/>
        <v>0</v>
      </c>
    </row>
    <row r="3436" spans="1:7" ht="19.899999999999999" customHeight="1">
      <c r="A3436" s="515">
        <f t="shared" si="1070"/>
        <v>0</v>
      </c>
      <c r="B3436" s="478">
        <f t="shared" si="1071"/>
        <v>0</v>
      </c>
      <c r="C3436" s="469"/>
      <c r="D3436" s="475"/>
      <c r="E3436" s="472">
        <f t="shared" si="1072"/>
        <v>0</v>
      </c>
      <c r="F3436" s="475">
        <f>IF(C3436="",0,IFERROR(VLOOKUP(COUNTIF($A$1:A3436,"ANALISIS DE PRECIOS"),T_Rendimiento_Equipo,5,FALSE),0))</f>
        <v>0</v>
      </c>
      <c r="G3436" s="472">
        <f t="shared" si="1073"/>
        <v>0</v>
      </c>
    </row>
    <row r="3437" spans="1:7" ht="19.899999999999999" customHeight="1">
      <c r="A3437" s="515">
        <f t="shared" si="1070"/>
        <v>0</v>
      </c>
      <c r="B3437" s="478">
        <f t="shared" si="1071"/>
        <v>0</v>
      </c>
      <c r="C3437" s="469"/>
      <c r="D3437" s="483"/>
      <c r="E3437" s="472">
        <f t="shared" si="1072"/>
        <v>0</v>
      </c>
      <c r="F3437" s="475">
        <f>IF(C3437="",0,IFERROR(VLOOKUP(COUNTIF($A$1:A3437,"ANALISIS DE PRECIOS"),T_Rendimiento_Equipo,5,FALSE),0))</f>
        <v>0</v>
      </c>
      <c r="G3437" s="472">
        <f t="shared" si="1073"/>
        <v>0</v>
      </c>
    </row>
    <row r="3438" spans="1:7" ht="19.899999999999999" customHeight="1">
      <c r="A3438" s="515">
        <f t="shared" si="1070"/>
        <v>0</v>
      </c>
      <c r="B3438" s="478">
        <f t="shared" si="1071"/>
        <v>0</v>
      </c>
      <c r="C3438" s="478"/>
      <c r="D3438" s="484"/>
      <c r="E3438" s="472">
        <f t="shared" si="1072"/>
        <v>0</v>
      </c>
      <c r="F3438" s="475">
        <f>IF(C3438="",0,IFERROR(VLOOKUP(COUNTIF($A$1:A3438,"ANALISIS DE PRECIOS"),T_Rendimiento_Equipo,5,FALSE),0))</f>
        <v>0</v>
      </c>
      <c r="G3438" s="472">
        <f t="shared" si="1073"/>
        <v>0</v>
      </c>
    </row>
    <row r="3439" spans="1:7" ht="19.899999999999999" customHeight="1">
      <c r="A3439" s="516"/>
      <c r="B3439" s="459"/>
      <c r="C3439" s="163"/>
      <c r="D3439" s="459"/>
      <c r="E3439" s="460"/>
      <c r="F3439" s="650" t="s">
        <v>27</v>
      </c>
      <c r="G3439" s="518">
        <f>SUBTOTAL(9,G3432:G3438)</f>
        <v>0</v>
      </c>
    </row>
    <row r="3440" spans="1:7" ht="19.899999999999999" customHeight="1">
      <c r="A3440" s="513"/>
      <c r="B3440" s="163"/>
      <c r="C3440" s="455" t="s">
        <v>1013</v>
      </c>
      <c r="D3440" s="459"/>
      <c r="E3440" s="460"/>
      <c r="F3440" s="461"/>
      <c r="G3440" s="514"/>
    </row>
    <row r="3441" spans="1:7" ht="19.899999999999999" customHeight="1">
      <c r="A3441" s="677" t="s">
        <v>575</v>
      </c>
      <c r="B3441" s="678"/>
      <c r="C3441" s="679" t="s">
        <v>0</v>
      </c>
      <c r="D3441" s="679" t="s">
        <v>1865</v>
      </c>
      <c r="E3441" s="681" t="s">
        <v>23</v>
      </c>
      <c r="F3441" s="683" t="s">
        <v>24</v>
      </c>
      <c r="G3441" s="685" t="s">
        <v>25</v>
      </c>
    </row>
    <row r="3442" spans="1:7" ht="19.899999999999999" customHeight="1">
      <c r="A3442" s="477" t="s">
        <v>576</v>
      </c>
      <c r="B3442" s="477" t="s">
        <v>577</v>
      </c>
      <c r="C3442" s="680"/>
      <c r="D3442" s="680"/>
      <c r="E3442" s="682"/>
      <c r="F3442" s="684"/>
      <c r="G3442" s="686"/>
    </row>
    <row r="3443" spans="1:7" ht="19.899999999999999" customHeight="1">
      <c r="A3443" s="515">
        <f t="shared" ref="A3443:A3453" si="1074">IFERROR(VLOOKUP(C3443,T_Insumos,4,FALSE),0)</f>
        <v>0</v>
      </c>
      <c r="B3443" s="478">
        <f t="shared" ref="B3443:B3453" si="1075">IFERROR(VLOOKUP(C3443,T_Insumos,5,FALSE),0)</f>
        <v>0</v>
      </c>
      <c r="C3443" s="478"/>
      <c r="D3443" s="526">
        <f t="shared" ref="D3443:D3453" si="1076">IFERROR(VLOOKUP(C3443,T_Insumos,2,FALSE),0)</f>
        <v>0</v>
      </c>
      <c r="E3443" s="470"/>
      <c r="F3443" s="472">
        <f t="shared" ref="F3443:F3453" si="1077">IFERROR(VLOOKUP(C3443,T_Insumos,3,FALSE),0)</f>
        <v>0</v>
      </c>
      <c r="G3443" s="472">
        <f>ROUND(E3443*F3443,2)</f>
        <v>0</v>
      </c>
    </row>
    <row r="3444" spans="1:7" ht="19.899999999999999" customHeight="1">
      <c r="A3444" s="515">
        <f t="shared" si="1074"/>
        <v>0</v>
      </c>
      <c r="B3444" s="478">
        <f t="shared" si="1075"/>
        <v>0</v>
      </c>
      <c r="C3444" s="478"/>
      <c r="D3444" s="526">
        <f t="shared" si="1076"/>
        <v>0</v>
      </c>
      <c r="E3444" s="470"/>
      <c r="F3444" s="472">
        <f t="shared" si="1077"/>
        <v>0</v>
      </c>
      <c r="G3444" s="472">
        <f t="shared" ref="G3444:G3453" si="1078">ROUND(E3444*F3444,2)</f>
        <v>0</v>
      </c>
    </row>
    <row r="3445" spans="1:7" ht="19.899999999999999" customHeight="1">
      <c r="A3445" s="515">
        <f t="shared" si="1074"/>
        <v>0</v>
      </c>
      <c r="B3445" s="478">
        <f t="shared" si="1075"/>
        <v>0</v>
      </c>
      <c r="C3445" s="478"/>
      <c r="D3445" s="526">
        <f t="shared" si="1076"/>
        <v>0</v>
      </c>
      <c r="E3445" s="470"/>
      <c r="F3445" s="472">
        <f t="shared" si="1077"/>
        <v>0</v>
      </c>
      <c r="G3445" s="472">
        <f t="shared" si="1078"/>
        <v>0</v>
      </c>
    </row>
    <row r="3446" spans="1:7" ht="19.899999999999999" customHeight="1">
      <c r="A3446" s="515">
        <f t="shared" si="1074"/>
        <v>0</v>
      </c>
      <c r="B3446" s="478">
        <f t="shared" si="1075"/>
        <v>0</v>
      </c>
      <c r="C3446" s="478"/>
      <c r="D3446" s="526">
        <f t="shared" si="1076"/>
        <v>0</v>
      </c>
      <c r="E3446" s="470"/>
      <c r="F3446" s="472">
        <f t="shared" si="1077"/>
        <v>0</v>
      </c>
      <c r="G3446" s="472">
        <f t="shared" si="1078"/>
        <v>0</v>
      </c>
    </row>
    <row r="3447" spans="1:7" ht="19.899999999999999" customHeight="1">
      <c r="A3447" s="515">
        <f t="shared" si="1074"/>
        <v>0</v>
      </c>
      <c r="B3447" s="478">
        <f t="shared" si="1075"/>
        <v>0</v>
      </c>
      <c r="C3447" s="478"/>
      <c r="D3447" s="526">
        <f t="shared" si="1076"/>
        <v>0</v>
      </c>
      <c r="E3447" s="470"/>
      <c r="F3447" s="472">
        <f t="shared" si="1077"/>
        <v>0</v>
      </c>
      <c r="G3447" s="472">
        <f t="shared" si="1078"/>
        <v>0</v>
      </c>
    </row>
    <row r="3448" spans="1:7" ht="19.899999999999999" customHeight="1">
      <c r="A3448" s="515">
        <f t="shared" si="1074"/>
        <v>0</v>
      </c>
      <c r="B3448" s="478">
        <f t="shared" si="1075"/>
        <v>0</v>
      </c>
      <c r="C3448" s="478"/>
      <c r="D3448" s="526">
        <f t="shared" si="1076"/>
        <v>0</v>
      </c>
      <c r="E3448" s="470"/>
      <c r="F3448" s="472">
        <f t="shared" si="1077"/>
        <v>0</v>
      </c>
      <c r="G3448" s="472">
        <f t="shared" si="1078"/>
        <v>0</v>
      </c>
    </row>
    <row r="3449" spans="1:7" ht="19.899999999999999" customHeight="1">
      <c r="A3449" s="515">
        <f t="shared" si="1074"/>
        <v>0</v>
      </c>
      <c r="B3449" s="478">
        <f t="shared" si="1075"/>
        <v>0</v>
      </c>
      <c r="C3449" s="478"/>
      <c r="D3449" s="526">
        <f t="shared" si="1076"/>
        <v>0</v>
      </c>
      <c r="E3449" s="470"/>
      <c r="F3449" s="472">
        <f t="shared" si="1077"/>
        <v>0</v>
      </c>
      <c r="G3449" s="472">
        <f t="shared" si="1078"/>
        <v>0</v>
      </c>
    </row>
    <row r="3450" spans="1:7" ht="19.899999999999999" customHeight="1">
      <c r="A3450" s="515">
        <f t="shared" si="1074"/>
        <v>0</v>
      </c>
      <c r="B3450" s="478">
        <f t="shared" si="1075"/>
        <v>0</v>
      </c>
      <c r="C3450" s="478"/>
      <c r="D3450" s="526">
        <f t="shared" si="1076"/>
        <v>0</v>
      </c>
      <c r="E3450" s="470"/>
      <c r="F3450" s="472">
        <f t="shared" si="1077"/>
        <v>0</v>
      </c>
      <c r="G3450" s="472">
        <f t="shared" si="1078"/>
        <v>0</v>
      </c>
    </row>
    <row r="3451" spans="1:7" ht="19.899999999999999" customHeight="1">
      <c r="A3451" s="515">
        <f t="shared" si="1074"/>
        <v>0</v>
      </c>
      <c r="B3451" s="478">
        <f t="shared" si="1075"/>
        <v>0</v>
      </c>
      <c r="C3451" s="478"/>
      <c r="D3451" s="526">
        <f t="shared" si="1076"/>
        <v>0</v>
      </c>
      <c r="E3451" s="470"/>
      <c r="F3451" s="472">
        <f t="shared" si="1077"/>
        <v>0</v>
      </c>
      <c r="G3451" s="472">
        <f t="shared" si="1078"/>
        <v>0</v>
      </c>
    </row>
    <row r="3452" spans="1:7" ht="19.899999999999999" customHeight="1">
      <c r="A3452" s="515">
        <f t="shared" si="1074"/>
        <v>0</v>
      </c>
      <c r="B3452" s="478">
        <f t="shared" si="1075"/>
        <v>0</v>
      </c>
      <c r="C3452" s="478"/>
      <c r="D3452" s="526">
        <f t="shared" si="1076"/>
        <v>0</v>
      </c>
      <c r="E3452" s="470"/>
      <c r="F3452" s="472">
        <f t="shared" si="1077"/>
        <v>0</v>
      </c>
      <c r="G3452" s="472">
        <f t="shared" si="1078"/>
        <v>0</v>
      </c>
    </row>
    <row r="3453" spans="1:7" ht="19.899999999999999" customHeight="1">
      <c r="A3453" s="515">
        <f t="shared" si="1074"/>
        <v>0</v>
      </c>
      <c r="B3453" s="478">
        <f t="shared" si="1075"/>
        <v>0</v>
      </c>
      <c r="C3453" s="478"/>
      <c r="D3453" s="526">
        <f t="shared" si="1076"/>
        <v>0</v>
      </c>
      <c r="E3453" s="470"/>
      <c r="F3453" s="472">
        <f t="shared" si="1077"/>
        <v>0</v>
      </c>
      <c r="G3453" s="472">
        <f t="shared" si="1078"/>
        <v>0</v>
      </c>
    </row>
    <row r="3454" spans="1:7" ht="19.899999999999999" customHeight="1">
      <c r="A3454" s="513"/>
      <c r="B3454" s="163"/>
      <c r="C3454" s="163"/>
      <c r="D3454" s="459"/>
      <c r="E3454" s="460"/>
      <c r="F3454" s="650" t="s">
        <v>28</v>
      </c>
      <c r="G3454" s="518">
        <f>SUBTOTAL(9,G3443:G3453)</f>
        <v>0</v>
      </c>
    </row>
    <row r="3455" spans="1:7" ht="19.899999999999999" customHeight="1">
      <c r="A3455" s="513"/>
      <c r="B3455" s="163"/>
      <c r="C3455" s="455" t="s">
        <v>1014</v>
      </c>
      <c r="D3455" s="459"/>
      <c r="E3455" s="460"/>
      <c r="F3455" s="461"/>
      <c r="G3455" s="514"/>
    </row>
    <row r="3456" spans="1:7" ht="19.899999999999999" customHeight="1">
      <c r="A3456" s="677" t="s">
        <v>575</v>
      </c>
      <c r="B3456" s="678"/>
      <c r="C3456" s="679" t="s">
        <v>0</v>
      </c>
      <c r="D3456" s="679" t="s">
        <v>1865</v>
      </c>
      <c r="E3456" s="681" t="s">
        <v>23</v>
      </c>
      <c r="F3456" s="683" t="s">
        <v>24</v>
      </c>
      <c r="G3456" s="685" t="s">
        <v>25</v>
      </c>
    </row>
    <row r="3457" spans="1:7" ht="19.899999999999999" customHeight="1">
      <c r="A3457" s="477" t="s">
        <v>576</v>
      </c>
      <c r="B3457" s="477" t="s">
        <v>577</v>
      </c>
      <c r="C3457" s="680"/>
      <c r="D3457" s="680"/>
      <c r="E3457" s="682"/>
      <c r="F3457" s="684"/>
      <c r="G3457" s="686"/>
    </row>
    <row r="3458" spans="1:7" ht="19.899999999999999" customHeight="1">
      <c r="A3458" s="515">
        <f>IFERROR(VLOOKUP(C3458,T_Insumos,4,FALSE),0)</f>
        <v>0</v>
      </c>
      <c r="B3458" s="478">
        <f>IFERROR(VLOOKUP(C3458,T_Insumos,5,FALSE),0)</f>
        <v>0</v>
      </c>
      <c r="C3458" s="469"/>
      <c r="D3458" s="526">
        <f>IF(C3458=0,0,"$/tnkm")</f>
        <v>0</v>
      </c>
      <c r="E3458" s="470"/>
      <c r="F3458" s="472">
        <f>IFERROR(VLOOKUP(C3458,T_Insumos,3,FALSE),0)</f>
        <v>0</v>
      </c>
      <c r="G3458" s="472">
        <f>ROUND(E3458*F3458,2)</f>
        <v>0</v>
      </c>
    </row>
    <row r="3459" spans="1:7" ht="19.899999999999999" customHeight="1">
      <c r="A3459" s="515">
        <f>IFERROR(VLOOKUP(C3459,T_Insumos,4,FALSE),0)</f>
        <v>0</v>
      </c>
      <c r="B3459" s="478">
        <f>IFERROR(VLOOKUP(C3459,T_Insumos,5,FALSE),0)</f>
        <v>0</v>
      </c>
      <c r="C3459" s="469"/>
      <c r="D3459" s="526">
        <f>IF(C3459=0,0,"$/tnkm")</f>
        <v>0</v>
      </c>
      <c r="E3459" s="486"/>
      <c r="F3459" s="472">
        <f>IFERROR(VLOOKUP(C3459,T_Insumos,3,FALSE),0)</f>
        <v>0</v>
      </c>
      <c r="G3459" s="472">
        <f t="shared" ref="G3459" si="1079">ROUND(E3459*F3459,2)</f>
        <v>0</v>
      </c>
    </row>
    <row r="3460" spans="1:7" ht="19.899999999999999" customHeight="1">
      <c r="A3460" s="513"/>
      <c r="B3460" s="163"/>
      <c r="C3460" s="163"/>
      <c r="D3460" s="459"/>
      <c r="E3460" s="460"/>
      <c r="F3460" s="650" t="s">
        <v>1015</v>
      </c>
      <c r="G3460" s="518">
        <f>SUBTOTAL(9,G3458:G3459)</f>
        <v>0</v>
      </c>
    </row>
    <row r="3461" spans="1:7" ht="19.899999999999999" customHeight="1">
      <c r="A3461" s="516"/>
      <c r="B3461" s="459"/>
      <c r="C3461" s="163"/>
      <c r="D3461" s="459"/>
      <c r="E3461" s="460"/>
      <c r="F3461" s="461"/>
      <c r="G3461" s="514"/>
    </row>
    <row r="3462" spans="1:7" ht="19.899999999999999" customHeight="1">
      <c r="A3462" s="574" t="str">
        <f>B3396</f>
        <v>6.2.7</v>
      </c>
      <c r="B3462" s="571" t="str">
        <f ca="1">C3396</f>
        <v>Remocion recubrimiento dañado y limpieza en pila, fondo losa y estribos</v>
      </c>
      <c r="C3462" s="459"/>
      <c r="D3462" s="459" t="s">
        <v>1831</v>
      </c>
      <c r="E3462" s="572"/>
      <c r="F3462" s="573" t="str">
        <f ca="1">"$/"&amp;G3396</f>
        <v>$/m2</v>
      </c>
      <c r="G3462" s="523">
        <f>SUBTOTAL(9,G3419:G3461)</f>
        <v>0</v>
      </c>
    </row>
    <row r="3463" spans="1:7" ht="19.899999999999999" customHeight="1">
      <c r="A3463" s="519"/>
      <c r="B3463" s="520"/>
      <c r="C3463" s="521"/>
      <c r="D3463" s="521" t="s">
        <v>2041</v>
      </c>
      <c r="E3463" s="522"/>
      <c r="F3463" s="575" t="str">
        <f ca="1">"$/"&amp;G3396</f>
        <v>$/m2</v>
      </c>
      <c r="G3463" s="523">
        <f>ROUND(G3462*Coeficiente_Paso,2)</f>
        <v>0</v>
      </c>
    </row>
    <row r="3464" spans="1:7" ht="19.899999999999999" customHeight="1">
      <c r="A3464" s="163"/>
      <c r="B3464" s="163"/>
      <c r="C3464" s="163"/>
      <c r="D3464" s="163"/>
      <c r="E3464" s="163"/>
      <c r="F3464" s="163"/>
      <c r="G3464" s="163"/>
    </row>
    <row r="3465" spans="1:7" ht="19.899999999999999" customHeight="1">
      <c r="A3465" s="687" t="s">
        <v>30</v>
      </c>
      <c r="B3465" s="688"/>
      <c r="C3465" s="688"/>
      <c r="D3465" s="688"/>
      <c r="E3465" s="688"/>
      <c r="F3465" s="688"/>
      <c r="G3465" s="689"/>
    </row>
    <row r="3466" spans="1:7" ht="19.899999999999999" customHeight="1">
      <c r="A3466" s="502" t="s">
        <v>710</v>
      </c>
      <c r="B3466" s="453" t="str">
        <f>Comitente</f>
        <v>DEPARTAMENTO DE HIDRAULICA</v>
      </c>
      <c r="C3466" s="454"/>
      <c r="D3466" s="455"/>
      <c r="E3466" s="455"/>
      <c r="F3466" s="456"/>
      <c r="G3466" s="503"/>
    </row>
    <row r="3467" spans="1:7" ht="19.899999999999999" customHeight="1">
      <c r="A3467" s="502" t="s">
        <v>711</v>
      </c>
      <c r="B3467" s="453">
        <f>Contratista</f>
        <v>0</v>
      </c>
      <c r="C3467" s="457"/>
      <c r="D3467" s="457"/>
      <c r="E3467" s="457"/>
      <c r="F3467" s="453"/>
      <c r="G3467" s="504"/>
    </row>
    <row r="3468" spans="1:7" ht="19.899999999999999" customHeight="1">
      <c r="A3468" s="502" t="s">
        <v>20</v>
      </c>
      <c r="B3468" s="453" t="str">
        <f>Obra</f>
        <v>MEJORA DE LA RED DE RIEGO DEL VALLE DE JÁCHAL</v>
      </c>
      <c r="C3468" s="457"/>
      <c r="D3468" s="457"/>
      <c r="E3468" s="457"/>
      <c r="F3468" s="453" t="s">
        <v>31</v>
      </c>
      <c r="G3468" s="504" t="str">
        <f>Fecha_Base</f>
        <v>XX/07/2020</v>
      </c>
    </row>
    <row r="3469" spans="1:7" ht="19.899999999999999" customHeight="1">
      <c r="A3469" s="505" t="s">
        <v>709</v>
      </c>
      <c r="B3469" s="458" t="str">
        <f>Ubicación</f>
        <v>JACHAL</v>
      </c>
      <c r="C3469" s="458"/>
      <c r="D3469" s="459"/>
      <c r="E3469" s="460"/>
      <c r="F3469" s="461"/>
      <c r="G3469" s="506"/>
    </row>
    <row r="3470" spans="1:7" ht="19.899999999999999" customHeight="1">
      <c r="A3470" s="505" t="s">
        <v>32</v>
      </c>
      <c r="B3470" s="462">
        <f>IFERROR(VALUE(LEFT(B3471,FIND(".",B3471)-1)),"")</f>
        <v>6</v>
      </c>
      <c r="C3470" s="163" t="str">
        <f ca="1">IFERROR(VLOOKUP(B3470,T_Computo_Presupuesto,2,FALSE),0)</f>
        <v>CANAL DEL NORTE</v>
      </c>
      <c r="D3470" s="163"/>
      <c r="E3470" s="460"/>
      <c r="F3470" s="461"/>
      <c r="G3470" s="506"/>
    </row>
    <row r="3471" spans="1:7" ht="19.899999999999999" customHeight="1">
      <c r="A3471" s="505" t="s">
        <v>21</v>
      </c>
      <c r="B3471" s="463" t="str">
        <f>IFERROR(VLOOKUP(COUNTIF($A$1:A3471,"ANALISIS DE PRECIOS"),T_NumeroItem,2,FALSE),"")</f>
        <v>6.2.8</v>
      </c>
      <c r="C3471" s="690" t="str">
        <f ca="1">IFERROR(VLOOKUP(B3471,T_Computo_Presupuesto,2,FALSE),0)</f>
        <v>Arenado de armaduras existentes</v>
      </c>
      <c r="D3471" s="690"/>
      <c r="E3471" s="690"/>
      <c r="F3471" s="458" t="s">
        <v>22</v>
      </c>
      <c r="G3471" s="507" t="str">
        <f ca="1">IFERROR(VLOOKUP(B3471,T_Computo_Presupuesto,4,FALSE),0)</f>
        <v>m2</v>
      </c>
    </row>
    <row r="3472" spans="1:7" ht="19.899999999999999" customHeight="1">
      <c r="A3472" s="505"/>
      <c r="B3472" s="458"/>
      <c r="C3472" s="163"/>
      <c r="D3472" s="459"/>
      <c r="E3472" s="460"/>
      <c r="F3472" s="163"/>
      <c r="G3472" s="508"/>
    </row>
    <row r="3473" spans="1:7" ht="19.899999999999999" customHeight="1">
      <c r="A3473" s="509"/>
      <c r="B3473" s="464"/>
      <c r="C3473" s="465" t="s">
        <v>998</v>
      </c>
      <c r="D3473" s="464"/>
      <c r="E3473" s="464"/>
      <c r="F3473" s="464"/>
      <c r="G3473" s="510"/>
    </row>
    <row r="3474" spans="1:7" ht="19.899999999999999" customHeight="1">
      <c r="A3474" s="505"/>
      <c r="B3474" s="466"/>
      <c r="C3474" s="163"/>
      <c r="D3474" s="459"/>
      <c r="E3474" s="460"/>
      <c r="F3474" s="458"/>
      <c r="G3474" s="507"/>
    </row>
    <row r="3475" spans="1:7" ht="19.899999999999999" customHeight="1">
      <c r="A3475" s="505"/>
      <c r="B3475" s="466"/>
      <c r="C3475" s="467" t="s">
        <v>999</v>
      </c>
      <c r="D3475" s="468" t="s">
        <v>23</v>
      </c>
      <c r="E3475" s="468" t="s">
        <v>1000</v>
      </c>
      <c r="F3475" s="468" t="s">
        <v>1001</v>
      </c>
      <c r="G3475" s="467" t="s">
        <v>1002</v>
      </c>
    </row>
    <row r="3476" spans="1:7" ht="19.899999999999999" customHeight="1">
      <c r="A3476" s="505"/>
      <c r="B3476" s="466"/>
      <c r="C3476" s="469"/>
      <c r="D3476" s="470"/>
      <c r="E3476" s="471">
        <f t="shared" ref="E3476:E3485" si="1080">IFERROR(VLOOKUP(C3476,T_Equipos,4,FALSE),0)</f>
        <v>0</v>
      </c>
      <c r="F3476" s="472">
        <f t="shared" ref="F3476:F3485" si="1081">IFERROR(VLOOKUP(C3476,T_Equipos,5,FALSE),0)</f>
        <v>0</v>
      </c>
      <c r="G3476" s="472">
        <f>ROUND(D3476*F3476,2)</f>
        <v>0</v>
      </c>
    </row>
    <row r="3477" spans="1:7" ht="19.899999999999999" customHeight="1">
      <c r="A3477" s="505"/>
      <c r="B3477" s="466"/>
      <c r="C3477" s="469"/>
      <c r="D3477" s="470"/>
      <c r="E3477" s="471">
        <f t="shared" si="1080"/>
        <v>0</v>
      </c>
      <c r="F3477" s="472">
        <f t="shared" si="1081"/>
        <v>0</v>
      </c>
      <c r="G3477" s="472">
        <f>ROUND(D3477*F3477,2)</f>
        <v>0</v>
      </c>
    </row>
    <row r="3478" spans="1:7" ht="19.899999999999999" customHeight="1">
      <c r="A3478" s="505"/>
      <c r="B3478" s="466"/>
      <c r="C3478" s="469"/>
      <c r="D3478" s="470"/>
      <c r="E3478" s="471">
        <f t="shared" si="1080"/>
        <v>0</v>
      </c>
      <c r="F3478" s="472">
        <f t="shared" si="1081"/>
        <v>0</v>
      </c>
      <c r="G3478" s="472">
        <f>ROUND(D3478*F3478,2)</f>
        <v>0</v>
      </c>
    </row>
    <row r="3479" spans="1:7" ht="19.899999999999999" customHeight="1">
      <c r="A3479" s="505"/>
      <c r="B3479" s="466"/>
      <c r="C3479" s="469"/>
      <c r="D3479" s="470"/>
      <c r="E3479" s="471">
        <f t="shared" si="1080"/>
        <v>0</v>
      </c>
      <c r="F3479" s="472">
        <f t="shared" si="1081"/>
        <v>0</v>
      </c>
      <c r="G3479" s="472">
        <f>ROUND(D3479*F3479,2)</f>
        <v>0</v>
      </c>
    </row>
    <row r="3480" spans="1:7" ht="19.899999999999999" customHeight="1">
      <c r="A3480" s="505"/>
      <c r="B3480" s="466"/>
      <c r="C3480" s="469"/>
      <c r="D3480" s="470"/>
      <c r="E3480" s="471">
        <f t="shared" si="1080"/>
        <v>0</v>
      </c>
      <c r="F3480" s="472">
        <f t="shared" si="1081"/>
        <v>0</v>
      </c>
      <c r="G3480" s="472">
        <f t="shared" ref="G3480:G3485" si="1082">ROUND(D3480*F3480,2)</f>
        <v>0</v>
      </c>
    </row>
    <row r="3481" spans="1:7" ht="19.899999999999999" customHeight="1">
      <c r="A3481" s="505"/>
      <c r="B3481" s="466"/>
      <c r="C3481" s="469"/>
      <c r="D3481" s="470"/>
      <c r="E3481" s="471">
        <f t="shared" si="1080"/>
        <v>0</v>
      </c>
      <c r="F3481" s="472">
        <f t="shared" si="1081"/>
        <v>0</v>
      </c>
      <c r="G3481" s="472">
        <f t="shared" si="1082"/>
        <v>0</v>
      </c>
    </row>
    <row r="3482" spans="1:7" ht="19.899999999999999" customHeight="1">
      <c r="A3482" s="505"/>
      <c r="B3482" s="466"/>
      <c r="C3482" s="469"/>
      <c r="D3482" s="470"/>
      <c r="E3482" s="471">
        <f t="shared" si="1080"/>
        <v>0</v>
      </c>
      <c r="F3482" s="472">
        <f t="shared" si="1081"/>
        <v>0</v>
      </c>
      <c r="G3482" s="472">
        <f t="shared" si="1082"/>
        <v>0</v>
      </c>
    </row>
    <row r="3483" spans="1:7" ht="19.899999999999999" customHeight="1">
      <c r="A3483" s="505"/>
      <c r="B3483" s="466"/>
      <c r="C3483" s="469"/>
      <c r="D3483" s="470"/>
      <c r="E3483" s="471">
        <f t="shared" si="1080"/>
        <v>0</v>
      </c>
      <c r="F3483" s="472">
        <f t="shared" si="1081"/>
        <v>0</v>
      </c>
      <c r="G3483" s="472">
        <f t="shared" si="1082"/>
        <v>0</v>
      </c>
    </row>
    <row r="3484" spans="1:7" ht="19.899999999999999" customHeight="1">
      <c r="A3484" s="505"/>
      <c r="B3484" s="466"/>
      <c r="C3484" s="469"/>
      <c r="D3484" s="470"/>
      <c r="E3484" s="471">
        <f t="shared" si="1080"/>
        <v>0</v>
      </c>
      <c r="F3484" s="472">
        <f t="shared" si="1081"/>
        <v>0</v>
      </c>
      <c r="G3484" s="472">
        <f t="shared" si="1082"/>
        <v>0</v>
      </c>
    </row>
    <row r="3485" spans="1:7" ht="19.899999999999999" customHeight="1">
      <c r="A3485" s="505"/>
      <c r="B3485" s="466"/>
      <c r="C3485" s="469"/>
      <c r="D3485" s="470"/>
      <c r="E3485" s="471">
        <f t="shared" si="1080"/>
        <v>0</v>
      </c>
      <c r="F3485" s="472">
        <f t="shared" si="1081"/>
        <v>0</v>
      </c>
      <c r="G3485" s="472">
        <f t="shared" si="1082"/>
        <v>0</v>
      </c>
    </row>
    <row r="3486" spans="1:7" ht="19.899999999999999" customHeight="1">
      <c r="A3486" s="505"/>
      <c r="B3486" s="466"/>
      <c r="C3486" s="163"/>
      <c r="D3486" s="163"/>
      <c r="E3486" s="473"/>
      <c r="F3486" s="458"/>
      <c r="G3486" s="507"/>
    </row>
    <row r="3487" spans="1:7" ht="19.899999999999999" customHeight="1">
      <c r="A3487" s="505"/>
      <c r="B3487" s="163"/>
      <c r="C3487" s="455" t="s">
        <v>1003</v>
      </c>
      <c r="D3487" s="458" t="s">
        <v>1000</v>
      </c>
      <c r="E3487" s="524">
        <f>SUMPRODUCT(D3476:D3485,E3476:E3485)</f>
        <v>0</v>
      </c>
      <c r="F3487" s="458" t="s">
        <v>1004</v>
      </c>
      <c r="G3487" s="525">
        <f>SUM(G3476:G3485)</f>
        <v>0</v>
      </c>
    </row>
    <row r="3488" spans="1:7" ht="19.899999999999999" customHeight="1">
      <c r="A3488" s="505"/>
      <c r="B3488" s="466"/>
      <c r="C3488" s="474"/>
      <c r="D3488" s="473"/>
      <c r="E3488" s="460"/>
      <c r="F3488" s="458"/>
      <c r="G3488" s="511"/>
    </row>
    <row r="3489" spans="1:7" ht="19.899999999999999" customHeight="1">
      <c r="A3489" s="512"/>
      <c r="B3489" s="466"/>
      <c r="C3489" s="458" t="s">
        <v>1005</v>
      </c>
      <c r="D3489" s="475"/>
      <c r="E3489" s="476" t="str">
        <f ca="1">G3471&amp;"/día"</f>
        <v>m2/día</v>
      </c>
      <c r="F3489" s="452"/>
      <c r="G3489" s="507"/>
    </row>
    <row r="3490" spans="1:7" ht="19.899999999999999" customHeight="1">
      <c r="A3490" s="505"/>
      <c r="B3490" s="466"/>
      <c r="C3490" s="163"/>
      <c r="D3490" s="459"/>
      <c r="E3490" s="460"/>
      <c r="F3490" s="458"/>
      <c r="G3490" s="507"/>
    </row>
    <row r="3491" spans="1:7" ht="19.899999999999999" customHeight="1">
      <c r="A3491" s="677" t="s">
        <v>575</v>
      </c>
      <c r="B3491" s="678"/>
      <c r="C3491" s="679" t="s">
        <v>0</v>
      </c>
      <c r="D3491" s="691" t="s">
        <v>1864</v>
      </c>
      <c r="E3491" s="691" t="s">
        <v>1863</v>
      </c>
      <c r="F3491" s="683" t="s">
        <v>1006</v>
      </c>
      <c r="G3491" s="685" t="s">
        <v>25</v>
      </c>
    </row>
    <row r="3492" spans="1:7" ht="19.899999999999999" customHeight="1">
      <c r="A3492" s="477" t="s">
        <v>576</v>
      </c>
      <c r="B3492" s="477" t="s">
        <v>577</v>
      </c>
      <c r="C3492" s="680"/>
      <c r="D3492" s="692"/>
      <c r="E3492" s="682"/>
      <c r="F3492" s="684"/>
      <c r="G3492" s="686"/>
    </row>
    <row r="3493" spans="1:7" ht="19.899999999999999" customHeight="1">
      <c r="A3493" s="513"/>
      <c r="B3493" s="163"/>
      <c r="C3493" s="455" t="s">
        <v>1007</v>
      </c>
      <c r="D3493" s="460"/>
      <c r="E3493" s="460"/>
      <c r="F3493" s="163"/>
      <c r="G3493" s="514"/>
    </row>
    <row r="3494" spans="1:7" ht="19.899999999999999" customHeight="1">
      <c r="A3494" s="515">
        <f t="shared" ref="A3494:A3502" si="1083">IFERROR(VLOOKUP(C3494,T_Insumos,4,FALSE),0)</f>
        <v>0</v>
      </c>
      <c r="B3494" s="478">
        <f t="shared" ref="B3494:B3502" si="1084">IFERROR(VLOOKUP(C3494,T_Insumos,5,FALSE),0)</f>
        <v>0</v>
      </c>
      <c r="C3494" s="469"/>
      <c r="D3494" s="479">
        <f t="shared" ref="D3494:D3502" si="1085">IFERROR(VLOOKUP(C3494,T_Insumos,3,FALSE),0)</f>
        <v>0</v>
      </c>
      <c r="E3494" s="472">
        <f>D3494*$G$23</f>
        <v>0</v>
      </c>
      <c r="F3494" s="475">
        <f>IF(C3494="",0,IFERROR(VLOOKUP(COUNTIF($A$1:A3494,"ANALISIS DE PRECIOS"),T_Rendimiento_Equipo,5,FALSE),0))</f>
        <v>0</v>
      </c>
      <c r="G3494" s="472">
        <f>IFERROR(ROUND(E3494/F3494,2),0)</f>
        <v>0</v>
      </c>
    </row>
    <row r="3495" spans="1:7" ht="19.899999999999999" customHeight="1">
      <c r="A3495" s="515">
        <f t="shared" si="1083"/>
        <v>0</v>
      </c>
      <c r="B3495" s="478">
        <f t="shared" si="1084"/>
        <v>0</v>
      </c>
      <c r="C3495" s="469"/>
      <c r="D3495" s="479">
        <f t="shared" si="1085"/>
        <v>0</v>
      </c>
      <c r="E3495" s="472">
        <f t="shared" ref="E3495:E3502" si="1086">D3495*$G$23</f>
        <v>0</v>
      </c>
      <c r="F3495" s="475">
        <f>IF(C3495="",0,IFERROR(VLOOKUP(COUNTIF($A$1:A3495,"ANALISIS DE PRECIOS"),T_Rendimiento_Equipo,5,FALSE),0))</f>
        <v>0</v>
      </c>
      <c r="G3495" s="472">
        <f t="shared" ref="G3495:G3502" si="1087">IFERROR(ROUND(E3495/F3495,2),0)</f>
        <v>0</v>
      </c>
    </row>
    <row r="3496" spans="1:7" ht="19.899999999999999" customHeight="1">
      <c r="A3496" s="515">
        <f t="shared" si="1083"/>
        <v>0</v>
      </c>
      <c r="B3496" s="478">
        <f t="shared" si="1084"/>
        <v>0</v>
      </c>
      <c r="C3496" s="480"/>
      <c r="D3496" s="479">
        <f t="shared" si="1085"/>
        <v>0</v>
      </c>
      <c r="E3496" s="472">
        <f t="shared" si="1086"/>
        <v>0</v>
      </c>
      <c r="F3496" s="475">
        <f>IF(C3496="",0,IFERROR(VLOOKUP(COUNTIF($A$1:A3496,"ANALISIS DE PRECIOS"),T_Rendimiento_Equipo,5,FALSE),0))</f>
        <v>0</v>
      </c>
      <c r="G3496" s="472">
        <f t="shared" si="1087"/>
        <v>0</v>
      </c>
    </row>
    <row r="3497" spans="1:7" ht="19.899999999999999" customHeight="1">
      <c r="A3497" s="515">
        <f t="shared" si="1083"/>
        <v>0</v>
      </c>
      <c r="B3497" s="478">
        <f t="shared" si="1084"/>
        <v>0</v>
      </c>
      <c r="C3497" s="480"/>
      <c r="D3497" s="479">
        <f t="shared" si="1085"/>
        <v>0</v>
      </c>
      <c r="E3497" s="472">
        <f t="shared" si="1086"/>
        <v>0</v>
      </c>
      <c r="F3497" s="475">
        <f>IF(C3497="",0,IFERROR(VLOOKUP(COUNTIF($A$1:A3497,"ANALISIS DE PRECIOS"),T_Rendimiento_Equipo,5,FALSE),0))</f>
        <v>0</v>
      </c>
      <c r="G3497" s="472">
        <f t="shared" si="1087"/>
        <v>0</v>
      </c>
    </row>
    <row r="3498" spans="1:7" ht="19.899999999999999" customHeight="1">
      <c r="A3498" s="515">
        <f t="shared" si="1083"/>
        <v>0</v>
      </c>
      <c r="B3498" s="478">
        <f t="shared" si="1084"/>
        <v>0</v>
      </c>
      <c r="C3498" s="480"/>
      <c r="D3498" s="479">
        <f t="shared" si="1085"/>
        <v>0</v>
      </c>
      <c r="E3498" s="472">
        <f t="shared" si="1086"/>
        <v>0</v>
      </c>
      <c r="F3498" s="475">
        <f>IF(C3498="",0,IFERROR(VLOOKUP(COUNTIF($A$1:A3498,"ANALISIS DE PRECIOS"),T_Rendimiento_Equipo,5,FALSE),0))</f>
        <v>0</v>
      </c>
      <c r="G3498" s="472">
        <f t="shared" si="1087"/>
        <v>0</v>
      </c>
    </row>
    <row r="3499" spans="1:7" ht="19.899999999999999" customHeight="1">
      <c r="A3499" s="515">
        <f t="shared" si="1083"/>
        <v>0</v>
      </c>
      <c r="B3499" s="478">
        <f t="shared" si="1084"/>
        <v>0</v>
      </c>
      <c r="C3499" s="480"/>
      <c r="D3499" s="479">
        <f t="shared" si="1085"/>
        <v>0</v>
      </c>
      <c r="E3499" s="472">
        <f t="shared" si="1086"/>
        <v>0</v>
      </c>
      <c r="F3499" s="475">
        <f>IF(C3499="",0,IFERROR(VLOOKUP(COUNTIF($A$1:A3499,"ANALISIS DE PRECIOS"),T_Rendimiento_Equipo,5,FALSE),0))</f>
        <v>0</v>
      </c>
      <c r="G3499" s="472">
        <f t="shared" si="1087"/>
        <v>0</v>
      </c>
    </row>
    <row r="3500" spans="1:7" ht="19.899999999999999" customHeight="1">
      <c r="A3500" s="515">
        <f t="shared" si="1083"/>
        <v>0</v>
      </c>
      <c r="B3500" s="478">
        <f t="shared" si="1084"/>
        <v>0</v>
      </c>
      <c r="C3500" s="480"/>
      <c r="D3500" s="479">
        <f t="shared" si="1085"/>
        <v>0</v>
      </c>
      <c r="E3500" s="472">
        <f t="shared" si="1086"/>
        <v>0</v>
      </c>
      <c r="F3500" s="475">
        <f>IF(C3500="",0,IFERROR(VLOOKUP(COUNTIF($A$1:A3500,"ANALISIS DE PRECIOS"),T_Rendimiento_Equipo,5,FALSE),0))</f>
        <v>0</v>
      </c>
      <c r="G3500" s="472">
        <f t="shared" si="1087"/>
        <v>0</v>
      </c>
    </row>
    <row r="3501" spans="1:7" ht="19.899999999999999" customHeight="1">
      <c r="A3501" s="515">
        <f t="shared" si="1083"/>
        <v>0</v>
      </c>
      <c r="B3501" s="478">
        <f t="shared" si="1084"/>
        <v>0</v>
      </c>
      <c r="C3501" s="480"/>
      <c r="D3501" s="479">
        <f t="shared" si="1085"/>
        <v>0</v>
      </c>
      <c r="E3501" s="472">
        <f t="shared" si="1086"/>
        <v>0</v>
      </c>
      <c r="F3501" s="475">
        <f>IF(C3501="",0,IFERROR(VLOOKUP(COUNTIF($A$1:A3501,"ANALISIS DE PRECIOS"),T_Rendimiento_Equipo,5,FALSE),0))</f>
        <v>0</v>
      </c>
      <c r="G3501" s="472">
        <f t="shared" si="1087"/>
        <v>0</v>
      </c>
    </row>
    <row r="3502" spans="1:7" ht="19.899999999999999" customHeight="1">
      <c r="A3502" s="515">
        <f t="shared" si="1083"/>
        <v>0</v>
      </c>
      <c r="B3502" s="478">
        <f t="shared" si="1084"/>
        <v>0</v>
      </c>
      <c r="C3502" s="469"/>
      <c r="D3502" s="479">
        <f t="shared" si="1085"/>
        <v>0</v>
      </c>
      <c r="E3502" s="472">
        <f t="shared" si="1086"/>
        <v>0</v>
      </c>
      <c r="F3502" s="475">
        <f>IF(C3502="",0,IFERROR(VLOOKUP(COUNTIF($A$1:A3502,"ANALISIS DE PRECIOS"),T_Rendimiento_Equipo,5,FALSE),0))</f>
        <v>0</v>
      </c>
      <c r="G3502" s="472">
        <f t="shared" si="1087"/>
        <v>0</v>
      </c>
    </row>
    <row r="3503" spans="1:7" ht="19.899999999999999" customHeight="1">
      <c r="A3503" s="516"/>
      <c r="B3503" s="459"/>
      <c r="C3503" s="163"/>
      <c r="D3503" s="459"/>
      <c r="E3503" s="460"/>
      <c r="F3503" s="650" t="s">
        <v>26</v>
      </c>
      <c r="G3503" s="517">
        <f>SUBTOTAL(9,G3494:G3502)</f>
        <v>0</v>
      </c>
    </row>
    <row r="3504" spans="1:7" ht="19.899999999999999" customHeight="1">
      <c r="A3504" s="513"/>
      <c r="B3504" s="163"/>
      <c r="C3504" s="455" t="s">
        <v>712</v>
      </c>
      <c r="D3504" s="459"/>
      <c r="E3504" s="460"/>
      <c r="F3504" s="461"/>
      <c r="G3504" s="514"/>
    </row>
    <row r="3505" spans="1:7" ht="19.899999999999999" customHeight="1">
      <c r="A3505" s="677" t="s">
        <v>575</v>
      </c>
      <c r="B3505" s="678"/>
      <c r="C3505" s="679" t="s">
        <v>0</v>
      </c>
      <c r="D3505" s="681" t="s">
        <v>23</v>
      </c>
      <c r="E3505" s="681" t="s">
        <v>1830</v>
      </c>
      <c r="F3505" s="683" t="s">
        <v>1006</v>
      </c>
      <c r="G3505" s="685" t="s">
        <v>25</v>
      </c>
    </row>
    <row r="3506" spans="1:7" ht="19.899999999999999" customHeight="1">
      <c r="A3506" s="477" t="s">
        <v>576</v>
      </c>
      <c r="B3506" s="477" t="s">
        <v>577</v>
      </c>
      <c r="C3506" s="680"/>
      <c r="D3506" s="682"/>
      <c r="E3506" s="682"/>
      <c r="F3506" s="684"/>
      <c r="G3506" s="686"/>
    </row>
    <row r="3507" spans="1:7" ht="19.899999999999999" customHeight="1">
      <c r="A3507" s="515">
        <f t="shared" ref="A3507:A3513" si="1088">IFERROR(VLOOKUP(C3507,T_Insumos,4,FALSE),0)</f>
        <v>0</v>
      </c>
      <c r="B3507" s="478">
        <f t="shared" ref="B3507:B3513" si="1089">IFERROR(VLOOKUP(C3507,T_Insumos,5,FALSE),0)</f>
        <v>0</v>
      </c>
      <c r="C3507" s="482"/>
      <c r="D3507" s="475"/>
      <c r="E3507" s="472">
        <f t="shared" ref="E3507:E3513" si="1090">IFERROR(VLOOKUP(C3507,T_Insumos,3,FALSE),0)</f>
        <v>0</v>
      </c>
      <c r="F3507" s="475">
        <f>IF(C3507="",0,IFERROR(VLOOKUP(COUNTIF($A$1:A3507,"ANALISIS DE PRECIOS"),T_Rendimiento_Equipo,5,FALSE),0))</f>
        <v>0</v>
      </c>
      <c r="G3507" s="472">
        <f>IFERROR(ROUND(D3507*E3507/F3507,2),0)</f>
        <v>0</v>
      </c>
    </row>
    <row r="3508" spans="1:7" ht="19.899999999999999" customHeight="1">
      <c r="A3508" s="515">
        <f t="shared" si="1088"/>
        <v>0</v>
      </c>
      <c r="B3508" s="478">
        <f t="shared" si="1089"/>
        <v>0</v>
      </c>
      <c r="C3508" s="469"/>
      <c r="D3508" s="475"/>
      <c r="E3508" s="472">
        <f t="shared" si="1090"/>
        <v>0</v>
      </c>
      <c r="F3508" s="475">
        <f>IF(C3508="",0,IFERROR(VLOOKUP(COUNTIF($A$1:A3508,"ANALISIS DE PRECIOS"),T_Rendimiento_Equipo,5,FALSE),0))</f>
        <v>0</v>
      </c>
      <c r="G3508" s="472">
        <f t="shared" ref="G3508:G3513" si="1091">IFERROR(ROUND(D3508*E3508/F3508,2),0)</f>
        <v>0</v>
      </c>
    </row>
    <row r="3509" spans="1:7" ht="19.899999999999999" customHeight="1">
      <c r="A3509" s="515">
        <f t="shared" si="1088"/>
        <v>0</v>
      </c>
      <c r="B3509" s="478">
        <f t="shared" si="1089"/>
        <v>0</v>
      </c>
      <c r="C3509" s="469"/>
      <c r="D3509" s="475"/>
      <c r="E3509" s="472">
        <f t="shared" si="1090"/>
        <v>0</v>
      </c>
      <c r="F3509" s="475">
        <f>IF(C3509="",0,IFERROR(VLOOKUP(COUNTIF($A$1:A3509,"ANALISIS DE PRECIOS"),T_Rendimiento_Equipo,5,FALSE),0))</f>
        <v>0</v>
      </c>
      <c r="G3509" s="472">
        <f t="shared" si="1091"/>
        <v>0</v>
      </c>
    </row>
    <row r="3510" spans="1:7" ht="19.899999999999999" customHeight="1">
      <c r="A3510" s="515">
        <f t="shared" si="1088"/>
        <v>0</v>
      </c>
      <c r="B3510" s="478">
        <f t="shared" si="1089"/>
        <v>0</v>
      </c>
      <c r="C3510" s="469"/>
      <c r="D3510" s="475"/>
      <c r="E3510" s="472">
        <f t="shared" si="1090"/>
        <v>0</v>
      </c>
      <c r="F3510" s="475">
        <f>IF(C3510="",0,IFERROR(VLOOKUP(COUNTIF($A$1:A3510,"ANALISIS DE PRECIOS"),T_Rendimiento_Equipo,5,FALSE),0))</f>
        <v>0</v>
      </c>
      <c r="G3510" s="472">
        <f t="shared" si="1091"/>
        <v>0</v>
      </c>
    </row>
    <row r="3511" spans="1:7" ht="19.899999999999999" customHeight="1">
      <c r="A3511" s="515">
        <f t="shared" si="1088"/>
        <v>0</v>
      </c>
      <c r="B3511" s="478">
        <f t="shared" si="1089"/>
        <v>0</v>
      </c>
      <c r="C3511" s="469"/>
      <c r="D3511" s="475"/>
      <c r="E3511" s="472">
        <f t="shared" si="1090"/>
        <v>0</v>
      </c>
      <c r="F3511" s="475">
        <f>IF(C3511="",0,IFERROR(VLOOKUP(COUNTIF($A$1:A3511,"ANALISIS DE PRECIOS"),T_Rendimiento_Equipo,5,FALSE),0))</f>
        <v>0</v>
      </c>
      <c r="G3511" s="472">
        <f t="shared" si="1091"/>
        <v>0</v>
      </c>
    </row>
    <row r="3512" spans="1:7" ht="19.899999999999999" customHeight="1">
      <c r="A3512" s="515">
        <f t="shared" si="1088"/>
        <v>0</v>
      </c>
      <c r="B3512" s="478">
        <f t="shared" si="1089"/>
        <v>0</v>
      </c>
      <c r="C3512" s="469"/>
      <c r="D3512" s="483"/>
      <c r="E3512" s="472">
        <f t="shared" si="1090"/>
        <v>0</v>
      </c>
      <c r="F3512" s="475">
        <f>IF(C3512="",0,IFERROR(VLOOKUP(COUNTIF($A$1:A3512,"ANALISIS DE PRECIOS"),T_Rendimiento_Equipo,5,FALSE),0))</f>
        <v>0</v>
      </c>
      <c r="G3512" s="472">
        <f t="shared" si="1091"/>
        <v>0</v>
      </c>
    </row>
    <row r="3513" spans="1:7" ht="19.899999999999999" customHeight="1">
      <c r="A3513" s="515">
        <f t="shared" si="1088"/>
        <v>0</v>
      </c>
      <c r="B3513" s="478">
        <f t="shared" si="1089"/>
        <v>0</v>
      </c>
      <c r="C3513" s="478"/>
      <c r="D3513" s="484"/>
      <c r="E3513" s="472">
        <f t="shared" si="1090"/>
        <v>0</v>
      </c>
      <c r="F3513" s="475">
        <f>IF(C3513="",0,IFERROR(VLOOKUP(COUNTIF($A$1:A3513,"ANALISIS DE PRECIOS"),T_Rendimiento_Equipo,5,FALSE),0))</f>
        <v>0</v>
      </c>
      <c r="G3513" s="472">
        <f t="shared" si="1091"/>
        <v>0</v>
      </c>
    </row>
    <row r="3514" spans="1:7" ht="19.899999999999999" customHeight="1">
      <c r="A3514" s="516"/>
      <c r="B3514" s="459"/>
      <c r="C3514" s="163"/>
      <c r="D3514" s="459"/>
      <c r="E3514" s="460"/>
      <c r="F3514" s="650" t="s">
        <v>27</v>
      </c>
      <c r="G3514" s="518">
        <f>SUBTOTAL(9,G3507:G3513)</f>
        <v>0</v>
      </c>
    </row>
    <row r="3515" spans="1:7" ht="19.899999999999999" customHeight="1">
      <c r="A3515" s="513"/>
      <c r="B3515" s="163"/>
      <c r="C3515" s="455" t="s">
        <v>1013</v>
      </c>
      <c r="D3515" s="459"/>
      <c r="E3515" s="460"/>
      <c r="F3515" s="461"/>
      <c r="G3515" s="514"/>
    </row>
    <row r="3516" spans="1:7" ht="19.899999999999999" customHeight="1">
      <c r="A3516" s="677" t="s">
        <v>575</v>
      </c>
      <c r="B3516" s="678"/>
      <c r="C3516" s="679" t="s">
        <v>0</v>
      </c>
      <c r="D3516" s="679" t="s">
        <v>1865</v>
      </c>
      <c r="E3516" s="681" t="s">
        <v>23</v>
      </c>
      <c r="F3516" s="683" t="s">
        <v>24</v>
      </c>
      <c r="G3516" s="685" t="s">
        <v>25</v>
      </c>
    </row>
    <row r="3517" spans="1:7" ht="19.899999999999999" customHeight="1">
      <c r="A3517" s="477" t="s">
        <v>576</v>
      </c>
      <c r="B3517" s="477" t="s">
        <v>577</v>
      </c>
      <c r="C3517" s="680"/>
      <c r="D3517" s="680"/>
      <c r="E3517" s="682"/>
      <c r="F3517" s="684"/>
      <c r="G3517" s="686"/>
    </row>
    <row r="3518" spans="1:7" ht="19.899999999999999" customHeight="1">
      <c r="A3518" s="515">
        <f t="shared" ref="A3518:A3528" si="1092">IFERROR(VLOOKUP(C3518,T_Insumos,4,FALSE),0)</f>
        <v>0</v>
      </c>
      <c r="B3518" s="478">
        <f t="shared" ref="B3518:B3528" si="1093">IFERROR(VLOOKUP(C3518,T_Insumos,5,FALSE),0)</f>
        <v>0</v>
      </c>
      <c r="C3518" s="478"/>
      <c r="D3518" s="526">
        <f t="shared" ref="D3518:D3528" si="1094">IFERROR(VLOOKUP(C3518,T_Insumos,2,FALSE),0)</f>
        <v>0</v>
      </c>
      <c r="E3518" s="470"/>
      <c r="F3518" s="472">
        <f t="shared" ref="F3518:F3528" si="1095">IFERROR(VLOOKUP(C3518,T_Insumos,3,FALSE),0)</f>
        <v>0</v>
      </c>
      <c r="G3518" s="472">
        <f>ROUND(E3518*F3518,2)</f>
        <v>0</v>
      </c>
    </row>
    <row r="3519" spans="1:7" ht="19.899999999999999" customHeight="1">
      <c r="A3519" s="515">
        <f t="shared" si="1092"/>
        <v>0</v>
      </c>
      <c r="B3519" s="478">
        <f t="shared" si="1093"/>
        <v>0</v>
      </c>
      <c r="C3519" s="478"/>
      <c r="D3519" s="526">
        <f t="shared" si="1094"/>
        <v>0</v>
      </c>
      <c r="E3519" s="470"/>
      <c r="F3519" s="472">
        <f t="shared" si="1095"/>
        <v>0</v>
      </c>
      <c r="G3519" s="472">
        <f t="shared" ref="G3519:G3528" si="1096">ROUND(E3519*F3519,2)</f>
        <v>0</v>
      </c>
    </row>
    <row r="3520" spans="1:7" ht="19.899999999999999" customHeight="1">
      <c r="A3520" s="515">
        <f t="shared" si="1092"/>
        <v>0</v>
      </c>
      <c r="B3520" s="478">
        <f t="shared" si="1093"/>
        <v>0</v>
      </c>
      <c r="C3520" s="478"/>
      <c r="D3520" s="526">
        <f t="shared" si="1094"/>
        <v>0</v>
      </c>
      <c r="E3520" s="470"/>
      <c r="F3520" s="472">
        <f t="shared" si="1095"/>
        <v>0</v>
      </c>
      <c r="G3520" s="472">
        <f t="shared" si="1096"/>
        <v>0</v>
      </c>
    </row>
    <row r="3521" spans="1:7" ht="19.899999999999999" customHeight="1">
      <c r="A3521" s="515">
        <f t="shared" si="1092"/>
        <v>0</v>
      </c>
      <c r="B3521" s="478">
        <f t="shared" si="1093"/>
        <v>0</v>
      </c>
      <c r="C3521" s="478"/>
      <c r="D3521" s="526">
        <f t="shared" si="1094"/>
        <v>0</v>
      </c>
      <c r="E3521" s="470"/>
      <c r="F3521" s="472">
        <f t="shared" si="1095"/>
        <v>0</v>
      </c>
      <c r="G3521" s="472">
        <f t="shared" si="1096"/>
        <v>0</v>
      </c>
    </row>
    <row r="3522" spans="1:7" ht="19.899999999999999" customHeight="1">
      <c r="A3522" s="515">
        <f t="shared" si="1092"/>
        <v>0</v>
      </c>
      <c r="B3522" s="478">
        <f t="shared" si="1093"/>
        <v>0</v>
      </c>
      <c r="C3522" s="478"/>
      <c r="D3522" s="526">
        <f t="shared" si="1094"/>
        <v>0</v>
      </c>
      <c r="E3522" s="470"/>
      <c r="F3522" s="472">
        <f t="shared" si="1095"/>
        <v>0</v>
      </c>
      <c r="G3522" s="472">
        <f t="shared" si="1096"/>
        <v>0</v>
      </c>
    </row>
    <row r="3523" spans="1:7" ht="19.899999999999999" customHeight="1">
      <c r="A3523" s="515">
        <f t="shared" si="1092"/>
        <v>0</v>
      </c>
      <c r="B3523" s="478">
        <f t="shared" si="1093"/>
        <v>0</v>
      </c>
      <c r="C3523" s="478"/>
      <c r="D3523" s="526">
        <f t="shared" si="1094"/>
        <v>0</v>
      </c>
      <c r="E3523" s="470"/>
      <c r="F3523" s="472">
        <f t="shared" si="1095"/>
        <v>0</v>
      </c>
      <c r="G3523" s="472">
        <f t="shared" si="1096"/>
        <v>0</v>
      </c>
    </row>
    <row r="3524" spans="1:7" ht="19.899999999999999" customHeight="1">
      <c r="A3524" s="515">
        <f t="shared" si="1092"/>
        <v>0</v>
      </c>
      <c r="B3524" s="478">
        <f t="shared" si="1093"/>
        <v>0</v>
      </c>
      <c r="C3524" s="478"/>
      <c r="D3524" s="526">
        <f t="shared" si="1094"/>
        <v>0</v>
      </c>
      <c r="E3524" s="470"/>
      <c r="F3524" s="472">
        <f t="shared" si="1095"/>
        <v>0</v>
      </c>
      <c r="G3524" s="472">
        <f t="shared" si="1096"/>
        <v>0</v>
      </c>
    </row>
    <row r="3525" spans="1:7" ht="19.899999999999999" customHeight="1">
      <c r="A3525" s="515">
        <f t="shared" si="1092"/>
        <v>0</v>
      </c>
      <c r="B3525" s="478">
        <f t="shared" si="1093"/>
        <v>0</v>
      </c>
      <c r="C3525" s="478"/>
      <c r="D3525" s="526">
        <f t="shared" si="1094"/>
        <v>0</v>
      </c>
      <c r="E3525" s="470"/>
      <c r="F3525" s="472">
        <f t="shared" si="1095"/>
        <v>0</v>
      </c>
      <c r="G3525" s="472">
        <f t="shared" si="1096"/>
        <v>0</v>
      </c>
    </row>
    <row r="3526" spans="1:7" ht="19.899999999999999" customHeight="1">
      <c r="A3526" s="515">
        <f t="shared" si="1092"/>
        <v>0</v>
      </c>
      <c r="B3526" s="478">
        <f t="shared" si="1093"/>
        <v>0</v>
      </c>
      <c r="C3526" s="478"/>
      <c r="D3526" s="526">
        <f t="shared" si="1094"/>
        <v>0</v>
      </c>
      <c r="E3526" s="470"/>
      <c r="F3526" s="472">
        <f t="shared" si="1095"/>
        <v>0</v>
      </c>
      <c r="G3526" s="472">
        <f t="shared" si="1096"/>
        <v>0</v>
      </c>
    </row>
    <row r="3527" spans="1:7" ht="19.899999999999999" customHeight="1">
      <c r="A3527" s="515">
        <f t="shared" si="1092"/>
        <v>0</v>
      </c>
      <c r="B3527" s="478">
        <f t="shared" si="1093"/>
        <v>0</v>
      </c>
      <c r="C3527" s="478"/>
      <c r="D3527" s="526">
        <f t="shared" si="1094"/>
        <v>0</v>
      </c>
      <c r="E3527" s="470"/>
      <c r="F3527" s="472">
        <f t="shared" si="1095"/>
        <v>0</v>
      </c>
      <c r="G3527" s="472">
        <f t="shared" si="1096"/>
        <v>0</v>
      </c>
    </row>
    <row r="3528" spans="1:7" ht="19.899999999999999" customHeight="1">
      <c r="A3528" s="515">
        <f t="shared" si="1092"/>
        <v>0</v>
      </c>
      <c r="B3528" s="478">
        <f t="shared" si="1093"/>
        <v>0</v>
      </c>
      <c r="C3528" s="478"/>
      <c r="D3528" s="526">
        <f t="shared" si="1094"/>
        <v>0</v>
      </c>
      <c r="E3528" s="470"/>
      <c r="F3528" s="472">
        <f t="shared" si="1095"/>
        <v>0</v>
      </c>
      <c r="G3528" s="472">
        <f t="shared" si="1096"/>
        <v>0</v>
      </c>
    </row>
    <row r="3529" spans="1:7" ht="19.899999999999999" customHeight="1">
      <c r="A3529" s="513"/>
      <c r="B3529" s="163"/>
      <c r="C3529" s="163"/>
      <c r="D3529" s="459"/>
      <c r="E3529" s="460"/>
      <c r="F3529" s="650" t="s">
        <v>28</v>
      </c>
      <c r="G3529" s="518">
        <f>SUBTOTAL(9,G3518:G3528)</f>
        <v>0</v>
      </c>
    </row>
    <row r="3530" spans="1:7" ht="19.899999999999999" customHeight="1">
      <c r="A3530" s="513"/>
      <c r="B3530" s="163"/>
      <c r="C3530" s="455" t="s">
        <v>1014</v>
      </c>
      <c r="D3530" s="459"/>
      <c r="E3530" s="460"/>
      <c r="F3530" s="461"/>
      <c r="G3530" s="514"/>
    </row>
    <row r="3531" spans="1:7" ht="19.899999999999999" customHeight="1">
      <c r="A3531" s="677" t="s">
        <v>575</v>
      </c>
      <c r="B3531" s="678"/>
      <c r="C3531" s="679" t="s">
        <v>0</v>
      </c>
      <c r="D3531" s="679" t="s">
        <v>1865</v>
      </c>
      <c r="E3531" s="681" t="s">
        <v>23</v>
      </c>
      <c r="F3531" s="683" t="s">
        <v>24</v>
      </c>
      <c r="G3531" s="685" t="s">
        <v>25</v>
      </c>
    </row>
    <row r="3532" spans="1:7" ht="19.899999999999999" customHeight="1">
      <c r="A3532" s="477" t="s">
        <v>576</v>
      </c>
      <c r="B3532" s="477" t="s">
        <v>577</v>
      </c>
      <c r="C3532" s="680"/>
      <c r="D3532" s="680"/>
      <c r="E3532" s="682"/>
      <c r="F3532" s="684"/>
      <c r="G3532" s="686"/>
    </row>
    <row r="3533" spans="1:7" ht="19.899999999999999" customHeight="1">
      <c r="A3533" s="515">
        <f>IFERROR(VLOOKUP(C3533,T_Insumos,4,FALSE),0)</f>
        <v>0</v>
      </c>
      <c r="B3533" s="478">
        <f>IFERROR(VLOOKUP(C3533,T_Insumos,5,FALSE),0)</f>
        <v>0</v>
      </c>
      <c r="C3533" s="469"/>
      <c r="D3533" s="526">
        <f>IF(C3533=0,0,"$/tnkm")</f>
        <v>0</v>
      </c>
      <c r="E3533" s="470"/>
      <c r="F3533" s="472">
        <f>IFERROR(VLOOKUP(C3533,T_Insumos,3,FALSE),0)</f>
        <v>0</v>
      </c>
      <c r="G3533" s="472">
        <f>ROUND(E3533*F3533,2)</f>
        <v>0</v>
      </c>
    </row>
    <row r="3534" spans="1:7" ht="19.899999999999999" customHeight="1">
      <c r="A3534" s="515">
        <f>IFERROR(VLOOKUP(C3534,T_Insumos,4,FALSE),0)</f>
        <v>0</v>
      </c>
      <c r="B3534" s="478">
        <f>IFERROR(VLOOKUP(C3534,T_Insumos,5,FALSE),0)</f>
        <v>0</v>
      </c>
      <c r="C3534" s="469"/>
      <c r="D3534" s="526">
        <f>IF(C3534=0,0,"$/tnkm")</f>
        <v>0</v>
      </c>
      <c r="E3534" s="486"/>
      <c r="F3534" s="472">
        <f>IFERROR(VLOOKUP(C3534,T_Insumos,3,FALSE),0)</f>
        <v>0</v>
      </c>
      <c r="G3534" s="472">
        <f t="shared" ref="G3534" si="1097">ROUND(E3534*F3534,2)</f>
        <v>0</v>
      </c>
    </row>
    <row r="3535" spans="1:7" ht="19.899999999999999" customHeight="1">
      <c r="A3535" s="513"/>
      <c r="B3535" s="163"/>
      <c r="C3535" s="163"/>
      <c r="D3535" s="459"/>
      <c r="E3535" s="460"/>
      <c r="F3535" s="650" t="s">
        <v>1015</v>
      </c>
      <c r="G3535" s="518">
        <f>SUBTOTAL(9,G3533:G3534)</f>
        <v>0</v>
      </c>
    </row>
    <row r="3536" spans="1:7" ht="19.899999999999999" customHeight="1">
      <c r="A3536" s="516"/>
      <c r="B3536" s="459"/>
      <c r="C3536" s="163"/>
      <c r="D3536" s="459"/>
      <c r="E3536" s="460"/>
      <c r="F3536" s="461"/>
      <c r="G3536" s="514"/>
    </row>
    <row r="3537" spans="1:7" ht="19.899999999999999" customHeight="1">
      <c r="A3537" s="574" t="str">
        <f>B3471</f>
        <v>6.2.8</v>
      </c>
      <c r="B3537" s="571" t="str">
        <f ca="1">C3471</f>
        <v>Arenado de armaduras existentes</v>
      </c>
      <c r="C3537" s="459"/>
      <c r="D3537" s="459" t="s">
        <v>1831</v>
      </c>
      <c r="E3537" s="572"/>
      <c r="F3537" s="573" t="str">
        <f ca="1">"$/"&amp;G3471</f>
        <v>$/m2</v>
      </c>
      <c r="G3537" s="523">
        <f>SUBTOTAL(9,G3494:G3536)</f>
        <v>0</v>
      </c>
    </row>
    <row r="3538" spans="1:7" ht="19.899999999999999" customHeight="1">
      <c r="A3538" s="519"/>
      <c r="B3538" s="520"/>
      <c r="C3538" s="521"/>
      <c r="D3538" s="521" t="s">
        <v>2041</v>
      </c>
      <c r="E3538" s="522"/>
      <c r="F3538" s="575" t="str">
        <f ca="1">"$/"&amp;G3471</f>
        <v>$/m2</v>
      </c>
      <c r="G3538" s="523">
        <f>ROUND(G3537*Coeficiente_Paso,2)</f>
        <v>0</v>
      </c>
    </row>
    <row r="3539" spans="1:7" ht="19.899999999999999" customHeight="1">
      <c r="A3539" s="163"/>
      <c r="B3539" s="163"/>
      <c r="C3539" s="163"/>
      <c r="D3539" s="163"/>
      <c r="E3539" s="163"/>
      <c r="F3539" s="163"/>
      <c r="G3539" s="163"/>
    </row>
    <row r="3540" spans="1:7" ht="19.899999999999999" customHeight="1">
      <c r="A3540" s="687" t="s">
        <v>30</v>
      </c>
      <c r="B3540" s="688"/>
      <c r="C3540" s="688"/>
      <c r="D3540" s="688"/>
      <c r="E3540" s="688"/>
      <c r="F3540" s="688"/>
      <c r="G3540" s="689"/>
    </row>
    <row r="3541" spans="1:7" ht="19.899999999999999" customHeight="1">
      <c r="A3541" s="502" t="s">
        <v>710</v>
      </c>
      <c r="B3541" s="453" t="str">
        <f>Comitente</f>
        <v>DEPARTAMENTO DE HIDRAULICA</v>
      </c>
      <c r="C3541" s="454"/>
      <c r="D3541" s="455"/>
      <c r="E3541" s="455"/>
      <c r="F3541" s="456"/>
      <c r="G3541" s="503"/>
    </row>
    <row r="3542" spans="1:7" ht="19.899999999999999" customHeight="1">
      <c r="A3542" s="502" t="s">
        <v>711</v>
      </c>
      <c r="B3542" s="453">
        <f>Contratista</f>
        <v>0</v>
      </c>
      <c r="C3542" s="457"/>
      <c r="D3542" s="457"/>
      <c r="E3542" s="457"/>
      <c r="F3542" s="453"/>
      <c r="G3542" s="504"/>
    </row>
    <row r="3543" spans="1:7" ht="19.899999999999999" customHeight="1">
      <c r="A3543" s="502" t="s">
        <v>20</v>
      </c>
      <c r="B3543" s="453" t="str">
        <f>Obra</f>
        <v>MEJORA DE LA RED DE RIEGO DEL VALLE DE JÁCHAL</v>
      </c>
      <c r="C3543" s="457"/>
      <c r="D3543" s="457"/>
      <c r="E3543" s="457"/>
      <c r="F3543" s="453" t="s">
        <v>31</v>
      </c>
      <c r="G3543" s="504" t="str">
        <f>Fecha_Base</f>
        <v>XX/07/2020</v>
      </c>
    </row>
    <row r="3544" spans="1:7" ht="19.899999999999999" customHeight="1">
      <c r="A3544" s="505" t="s">
        <v>709</v>
      </c>
      <c r="B3544" s="458" t="str">
        <f>Ubicación</f>
        <v>JACHAL</v>
      </c>
      <c r="C3544" s="458"/>
      <c r="D3544" s="459"/>
      <c r="E3544" s="460"/>
      <c r="F3544" s="461"/>
      <c r="G3544" s="506"/>
    </row>
    <row r="3545" spans="1:7" ht="19.899999999999999" customHeight="1">
      <c r="A3545" s="505" t="s">
        <v>32</v>
      </c>
      <c r="B3545" s="462">
        <f>IFERROR(VALUE(LEFT(B3546,FIND(".",B3546)-1)),"")</f>
        <v>6</v>
      </c>
      <c r="C3545" s="163" t="str">
        <f ca="1">IFERROR(VLOOKUP(B3545,T_Computo_Presupuesto,2,FALSE),0)</f>
        <v>CANAL DEL NORTE</v>
      </c>
      <c r="D3545" s="163"/>
      <c r="E3545" s="460"/>
      <c r="F3545" s="461"/>
      <c r="G3545" s="506"/>
    </row>
    <row r="3546" spans="1:7" ht="19.899999999999999" customHeight="1">
      <c r="A3546" s="505" t="s">
        <v>21</v>
      </c>
      <c r="B3546" s="463" t="str">
        <f>IFERROR(VLOOKUP(COUNTIF($A$1:A3546,"ANALISIS DE PRECIOS"),T_NumeroItem,2,FALSE),"")</f>
        <v>6.2.9</v>
      </c>
      <c r="C3546" s="690" t="str">
        <f ca="1">IFERROR(VLOOKUP(B3546,T_Computo_Presupuesto,2,FALSE),0)</f>
        <v>provision e instalacion de pernos de anclaje en estribos</v>
      </c>
      <c r="D3546" s="690"/>
      <c r="E3546" s="690"/>
      <c r="F3546" s="458" t="s">
        <v>22</v>
      </c>
      <c r="G3546" s="507" t="str">
        <f ca="1">IFERROR(VLOOKUP(B3546,T_Computo_Presupuesto,4,FALSE),0)</f>
        <v>unidad</v>
      </c>
    </row>
    <row r="3547" spans="1:7" ht="19.899999999999999" customHeight="1">
      <c r="A3547" s="505"/>
      <c r="B3547" s="458"/>
      <c r="C3547" s="163"/>
      <c r="D3547" s="459"/>
      <c r="E3547" s="460"/>
      <c r="F3547" s="163"/>
      <c r="G3547" s="508"/>
    </row>
    <row r="3548" spans="1:7" ht="19.899999999999999" customHeight="1">
      <c r="A3548" s="509"/>
      <c r="B3548" s="464"/>
      <c r="C3548" s="465" t="s">
        <v>998</v>
      </c>
      <c r="D3548" s="464"/>
      <c r="E3548" s="464"/>
      <c r="F3548" s="464"/>
      <c r="G3548" s="510"/>
    </row>
    <row r="3549" spans="1:7" ht="19.899999999999999" customHeight="1">
      <c r="A3549" s="505"/>
      <c r="B3549" s="466"/>
      <c r="C3549" s="163"/>
      <c r="D3549" s="459"/>
      <c r="E3549" s="460"/>
      <c r="F3549" s="458"/>
      <c r="G3549" s="507"/>
    </row>
    <row r="3550" spans="1:7" ht="19.899999999999999" customHeight="1">
      <c r="A3550" s="505"/>
      <c r="B3550" s="466"/>
      <c r="C3550" s="467" t="s">
        <v>999</v>
      </c>
      <c r="D3550" s="468" t="s">
        <v>23</v>
      </c>
      <c r="E3550" s="468" t="s">
        <v>1000</v>
      </c>
      <c r="F3550" s="468" t="s">
        <v>1001</v>
      </c>
      <c r="G3550" s="467" t="s">
        <v>1002</v>
      </c>
    </row>
    <row r="3551" spans="1:7" ht="19.899999999999999" customHeight="1">
      <c r="A3551" s="505"/>
      <c r="B3551" s="466"/>
      <c r="C3551" s="469"/>
      <c r="D3551" s="470"/>
      <c r="E3551" s="471">
        <f t="shared" ref="E3551:E3560" si="1098">IFERROR(VLOOKUP(C3551,T_Equipos,4,FALSE),0)</f>
        <v>0</v>
      </c>
      <c r="F3551" s="472">
        <f t="shared" ref="F3551:F3560" si="1099">IFERROR(VLOOKUP(C3551,T_Equipos,5,FALSE),0)</f>
        <v>0</v>
      </c>
      <c r="G3551" s="472">
        <f>ROUND(D3551*F3551,2)</f>
        <v>0</v>
      </c>
    </row>
    <row r="3552" spans="1:7" ht="19.899999999999999" customHeight="1">
      <c r="A3552" s="505"/>
      <c r="B3552" s="466"/>
      <c r="C3552" s="469"/>
      <c r="D3552" s="470"/>
      <c r="E3552" s="471">
        <f t="shared" si="1098"/>
        <v>0</v>
      </c>
      <c r="F3552" s="472">
        <f t="shared" si="1099"/>
        <v>0</v>
      </c>
      <c r="G3552" s="472">
        <f>ROUND(D3552*F3552,2)</f>
        <v>0</v>
      </c>
    </row>
    <row r="3553" spans="1:7" ht="19.899999999999999" customHeight="1">
      <c r="A3553" s="505"/>
      <c r="B3553" s="466"/>
      <c r="C3553" s="469"/>
      <c r="D3553" s="470"/>
      <c r="E3553" s="471">
        <f t="shared" si="1098"/>
        <v>0</v>
      </c>
      <c r="F3553" s="472">
        <f t="shared" si="1099"/>
        <v>0</v>
      </c>
      <c r="G3553" s="472">
        <f>ROUND(D3553*F3553,2)</f>
        <v>0</v>
      </c>
    </row>
    <row r="3554" spans="1:7" ht="19.899999999999999" customHeight="1">
      <c r="A3554" s="505"/>
      <c r="B3554" s="466"/>
      <c r="C3554" s="469"/>
      <c r="D3554" s="470"/>
      <c r="E3554" s="471">
        <f t="shared" si="1098"/>
        <v>0</v>
      </c>
      <c r="F3554" s="472">
        <f t="shared" si="1099"/>
        <v>0</v>
      </c>
      <c r="G3554" s="472">
        <f>ROUND(D3554*F3554,2)</f>
        <v>0</v>
      </c>
    </row>
    <row r="3555" spans="1:7" ht="19.899999999999999" customHeight="1">
      <c r="A3555" s="505"/>
      <c r="B3555" s="466"/>
      <c r="C3555" s="469"/>
      <c r="D3555" s="470"/>
      <c r="E3555" s="471">
        <f t="shared" si="1098"/>
        <v>0</v>
      </c>
      <c r="F3555" s="472">
        <f t="shared" si="1099"/>
        <v>0</v>
      </c>
      <c r="G3555" s="472">
        <f t="shared" ref="G3555:G3560" si="1100">ROUND(D3555*F3555,2)</f>
        <v>0</v>
      </c>
    </row>
    <row r="3556" spans="1:7" ht="19.899999999999999" customHeight="1">
      <c r="A3556" s="505"/>
      <c r="B3556" s="466"/>
      <c r="C3556" s="469"/>
      <c r="D3556" s="470"/>
      <c r="E3556" s="471">
        <f t="shared" si="1098"/>
        <v>0</v>
      </c>
      <c r="F3556" s="472">
        <f t="shared" si="1099"/>
        <v>0</v>
      </c>
      <c r="G3556" s="472">
        <f t="shared" si="1100"/>
        <v>0</v>
      </c>
    </row>
    <row r="3557" spans="1:7" ht="19.899999999999999" customHeight="1">
      <c r="A3557" s="505"/>
      <c r="B3557" s="466"/>
      <c r="C3557" s="469"/>
      <c r="D3557" s="470"/>
      <c r="E3557" s="471">
        <f t="shared" si="1098"/>
        <v>0</v>
      </c>
      <c r="F3557" s="472">
        <f t="shared" si="1099"/>
        <v>0</v>
      </c>
      <c r="G3557" s="472">
        <f t="shared" si="1100"/>
        <v>0</v>
      </c>
    </row>
    <row r="3558" spans="1:7" ht="19.899999999999999" customHeight="1">
      <c r="A3558" s="505"/>
      <c r="B3558" s="466"/>
      <c r="C3558" s="469"/>
      <c r="D3558" s="470"/>
      <c r="E3558" s="471">
        <f t="shared" si="1098"/>
        <v>0</v>
      </c>
      <c r="F3558" s="472">
        <f t="shared" si="1099"/>
        <v>0</v>
      </c>
      <c r="G3558" s="472">
        <f t="shared" si="1100"/>
        <v>0</v>
      </c>
    </row>
    <row r="3559" spans="1:7" ht="19.899999999999999" customHeight="1">
      <c r="A3559" s="505"/>
      <c r="B3559" s="466"/>
      <c r="C3559" s="469"/>
      <c r="D3559" s="470"/>
      <c r="E3559" s="471">
        <f t="shared" si="1098"/>
        <v>0</v>
      </c>
      <c r="F3559" s="472">
        <f t="shared" si="1099"/>
        <v>0</v>
      </c>
      <c r="G3559" s="472">
        <f t="shared" si="1100"/>
        <v>0</v>
      </c>
    </row>
    <row r="3560" spans="1:7" ht="19.899999999999999" customHeight="1">
      <c r="A3560" s="505"/>
      <c r="B3560" s="466"/>
      <c r="C3560" s="469"/>
      <c r="D3560" s="470"/>
      <c r="E3560" s="471">
        <f t="shared" si="1098"/>
        <v>0</v>
      </c>
      <c r="F3560" s="472">
        <f t="shared" si="1099"/>
        <v>0</v>
      </c>
      <c r="G3560" s="472">
        <f t="shared" si="1100"/>
        <v>0</v>
      </c>
    </row>
    <row r="3561" spans="1:7" ht="19.899999999999999" customHeight="1">
      <c r="A3561" s="505"/>
      <c r="B3561" s="466"/>
      <c r="C3561" s="163"/>
      <c r="D3561" s="163"/>
      <c r="E3561" s="473"/>
      <c r="F3561" s="458"/>
      <c r="G3561" s="507"/>
    </row>
    <row r="3562" spans="1:7" ht="19.899999999999999" customHeight="1">
      <c r="A3562" s="505"/>
      <c r="B3562" s="163"/>
      <c r="C3562" s="455" t="s">
        <v>1003</v>
      </c>
      <c r="D3562" s="458" t="s">
        <v>1000</v>
      </c>
      <c r="E3562" s="524">
        <f>SUMPRODUCT(D3551:D3560,E3551:E3560)</f>
        <v>0</v>
      </c>
      <c r="F3562" s="458" t="s">
        <v>1004</v>
      </c>
      <c r="G3562" s="525">
        <f>SUM(G3551:G3560)</f>
        <v>0</v>
      </c>
    </row>
    <row r="3563" spans="1:7" ht="19.899999999999999" customHeight="1">
      <c r="A3563" s="505"/>
      <c r="B3563" s="466"/>
      <c r="C3563" s="474"/>
      <c r="D3563" s="473"/>
      <c r="E3563" s="460"/>
      <c r="F3563" s="458"/>
      <c r="G3563" s="511"/>
    </row>
    <row r="3564" spans="1:7" ht="19.899999999999999" customHeight="1">
      <c r="A3564" s="512"/>
      <c r="B3564" s="466"/>
      <c r="C3564" s="458" t="s">
        <v>1005</v>
      </c>
      <c r="D3564" s="475"/>
      <c r="E3564" s="476" t="str">
        <f ca="1">G3546&amp;"/día"</f>
        <v>unidad/día</v>
      </c>
      <c r="F3564" s="452"/>
      <c r="G3564" s="507"/>
    </row>
    <row r="3565" spans="1:7" ht="19.899999999999999" customHeight="1">
      <c r="A3565" s="505"/>
      <c r="B3565" s="466"/>
      <c r="C3565" s="163"/>
      <c r="D3565" s="459"/>
      <c r="E3565" s="460"/>
      <c r="F3565" s="458"/>
      <c r="G3565" s="507"/>
    </row>
    <row r="3566" spans="1:7" ht="19.899999999999999" customHeight="1">
      <c r="A3566" s="677" t="s">
        <v>575</v>
      </c>
      <c r="B3566" s="678"/>
      <c r="C3566" s="679" t="s">
        <v>0</v>
      </c>
      <c r="D3566" s="691" t="s">
        <v>1864</v>
      </c>
      <c r="E3566" s="691" t="s">
        <v>1863</v>
      </c>
      <c r="F3566" s="683" t="s">
        <v>1006</v>
      </c>
      <c r="G3566" s="685" t="s">
        <v>25</v>
      </c>
    </row>
    <row r="3567" spans="1:7" ht="19.899999999999999" customHeight="1">
      <c r="A3567" s="477" t="s">
        <v>576</v>
      </c>
      <c r="B3567" s="477" t="s">
        <v>577</v>
      </c>
      <c r="C3567" s="680"/>
      <c r="D3567" s="692"/>
      <c r="E3567" s="682"/>
      <c r="F3567" s="684"/>
      <c r="G3567" s="686"/>
    </row>
    <row r="3568" spans="1:7" ht="19.899999999999999" customHeight="1">
      <c r="A3568" s="513"/>
      <c r="B3568" s="163"/>
      <c r="C3568" s="455" t="s">
        <v>1007</v>
      </c>
      <c r="D3568" s="460"/>
      <c r="E3568" s="460"/>
      <c r="F3568" s="163"/>
      <c r="G3568" s="514"/>
    </row>
    <row r="3569" spans="1:7" ht="19.899999999999999" customHeight="1">
      <c r="A3569" s="515">
        <f t="shared" ref="A3569:A3577" si="1101">IFERROR(VLOOKUP(C3569,T_Insumos,4,FALSE),0)</f>
        <v>0</v>
      </c>
      <c r="B3569" s="478">
        <f t="shared" ref="B3569:B3577" si="1102">IFERROR(VLOOKUP(C3569,T_Insumos,5,FALSE),0)</f>
        <v>0</v>
      </c>
      <c r="C3569" s="469"/>
      <c r="D3569" s="479">
        <f t="shared" ref="D3569:D3577" si="1103">IFERROR(VLOOKUP(C3569,T_Insumos,3,FALSE),0)</f>
        <v>0</v>
      </c>
      <c r="E3569" s="472">
        <f>D3569*$G$23</f>
        <v>0</v>
      </c>
      <c r="F3569" s="475">
        <f>IF(C3569="",0,IFERROR(VLOOKUP(COUNTIF($A$1:A3569,"ANALISIS DE PRECIOS"),T_Rendimiento_Equipo,5,FALSE),0))</f>
        <v>0</v>
      </c>
      <c r="G3569" s="472">
        <f>IFERROR(ROUND(E3569/F3569,2),0)</f>
        <v>0</v>
      </c>
    </row>
    <row r="3570" spans="1:7" ht="19.899999999999999" customHeight="1">
      <c r="A3570" s="515">
        <f t="shared" si="1101"/>
        <v>0</v>
      </c>
      <c r="B3570" s="478">
        <f t="shared" si="1102"/>
        <v>0</v>
      </c>
      <c r="C3570" s="469"/>
      <c r="D3570" s="479">
        <f t="shared" si="1103"/>
        <v>0</v>
      </c>
      <c r="E3570" s="472">
        <f t="shared" ref="E3570:E3577" si="1104">D3570*$G$23</f>
        <v>0</v>
      </c>
      <c r="F3570" s="475">
        <f>IF(C3570="",0,IFERROR(VLOOKUP(COUNTIF($A$1:A3570,"ANALISIS DE PRECIOS"),T_Rendimiento_Equipo,5,FALSE),0))</f>
        <v>0</v>
      </c>
      <c r="G3570" s="472">
        <f t="shared" ref="G3570:G3577" si="1105">IFERROR(ROUND(E3570/F3570,2),0)</f>
        <v>0</v>
      </c>
    </row>
    <row r="3571" spans="1:7" ht="19.899999999999999" customHeight="1">
      <c r="A3571" s="515">
        <f t="shared" si="1101"/>
        <v>0</v>
      </c>
      <c r="B3571" s="478">
        <f t="shared" si="1102"/>
        <v>0</v>
      </c>
      <c r="C3571" s="480"/>
      <c r="D3571" s="479">
        <f t="shared" si="1103"/>
        <v>0</v>
      </c>
      <c r="E3571" s="472">
        <f t="shared" si="1104"/>
        <v>0</v>
      </c>
      <c r="F3571" s="475">
        <f>IF(C3571="",0,IFERROR(VLOOKUP(COUNTIF($A$1:A3571,"ANALISIS DE PRECIOS"),T_Rendimiento_Equipo,5,FALSE),0))</f>
        <v>0</v>
      </c>
      <c r="G3571" s="472">
        <f t="shared" si="1105"/>
        <v>0</v>
      </c>
    </row>
    <row r="3572" spans="1:7" ht="19.899999999999999" customHeight="1">
      <c r="A3572" s="515">
        <f t="shared" si="1101"/>
        <v>0</v>
      </c>
      <c r="B3572" s="478">
        <f t="shared" si="1102"/>
        <v>0</v>
      </c>
      <c r="C3572" s="480"/>
      <c r="D3572" s="479">
        <f t="shared" si="1103"/>
        <v>0</v>
      </c>
      <c r="E3572" s="472">
        <f t="shared" si="1104"/>
        <v>0</v>
      </c>
      <c r="F3572" s="475">
        <f>IF(C3572="",0,IFERROR(VLOOKUP(COUNTIF($A$1:A3572,"ANALISIS DE PRECIOS"),T_Rendimiento_Equipo,5,FALSE),0))</f>
        <v>0</v>
      </c>
      <c r="G3572" s="472">
        <f t="shared" si="1105"/>
        <v>0</v>
      </c>
    </row>
    <row r="3573" spans="1:7" ht="19.899999999999999" customHeight="1">
      <c r="A3573" s="515">
        <f t="shared" si="1101"/>
        <v>0</v>
      </c>
      <c r="B3573" s="478">
        <f t="shared" si="1102"/>
        <v>0</v>
      </c>
      <c r="C3573" s="480"/>
      <c r="D3573" s="479">
        <f t="shared" si="1103"/>
        <v>0</v>
      </c>
      <c r="E3573" s="472">
        <f t="shared" si="1104"/>
        <v>0</v>
      </c>
      <c r="F3573" s="475">
        <f>IF(C3573="",0,IFERROR(VLOOKUP(COUNTIF($A$1:A3573,"ANALISIS DE PRECIOS"),T_Rendimiento_Equipo,5,FALSE),0))</f>
        <v>0</v>
      </c>
      <c r="G3573" s="472">
        <f t="shared" si="1105"/>
        <v>0</v>
      </c>
    </row>
    <row r="3574" spans="1:7" ht="19.899999999999999" customHeight="1">
      <c r="A3574" s="515">
        <f t="shared" si="1101"/>
        <v>0</v>
      </c>
      <c r="B3574" s="478">
        <f t="shared" si="1102"/>
        <v>0</v>
      </c>
      <c r="C3574" s="480"/>
      <c r="D3574" s="479">
        <f t="shared" si="1103"/>
        <v>0</v>
      </c>
      <c r="E3574" s="472">
        <f t="shared" si="1104"/>
        <v>0</v>
      </c>
      <c r="F3574" s="475">
        <f>IF(C3574="",0,IFERROR(VLOOKUP(COUNTIF($A$1:A3574,"ANALISIS DE PRECIOS"),T_Rendimiento_Equipo,5,FALSE),0))</f>
        <v>0</v>
      </c>
      <c r="G3574" s="472">
        <f t="shared" si="1105"/>
        <v>0</v>
      </c>
    </row>
    <row r="3575" spans="1:7" ht="19.899999999999999" customHeight="1">
      <c r="A3575" s="515">
        <f t="shared" si="1101"/>
        <v>0</v>
      </c>
      <c r="B3575" s="478">
        <f t="shared" si="1102"/>
        <v>0</v>
      </c>
      <c r="C3575" s="480"/>
      <c r="D3575" s="479">
        <f t="shared" si="1103"/>
        <v>0</v>
      </c>
      <c r="E3575" s="472">
        <f t="shared" si="1104"/>
        <v>0</v>
      </c>
      <c r="F3575" s="475">
        <f>IF(C3575="",0,IFERROR(VLOOKUP(COUNTIF($A$1:A3575,"ANALISIS DE PRECIOS"),T_Rendimiento_Equipo,5,FALSE),0))</f>
        <v>0</v>
      </c>
      <c r="G3575" s="472">
        <f t="shared" si="1105"/>
        <v>0</v>
      </c>
    </row>
    <row r="3576" spans="1:7" ht="19.899999999999999" customHeight="1">
      <c r="A3576" s="515">
        <f t="shared" si="1101"/>
        <v>0</v>
      </c>
      <c r="B3576" s="478">
        <f t="shared" si="1102"/>
        <v>0</v>
      </c>
      <c r="C3576" s="480"/>
      <c r="D3576" s="479">
        <f t="shared" si="1103"/>
        <v>0</v>
      </c>
      <c r="E3576" s="472">
        <f t="shared" si="1104"/>
        <v>0</v>
      </c>
      <c r="F3576" s="475">
        <f>IF(C3576="",0,IFERROR(VLOOKUP(COUNTIF($A$1:A3576,"ANALISIS DE PRECIOS"),T_Rendimiento_Equipo,5,FALSE),0))</f>
        <v>0</v>
      </c>
      <c r="G3576" s="472">
        <f t="shared" si="1105"/>
        <v>0</v>
      </c>
    </row>
    <row r="3577" spans="1:7" ht="19.899999999999999" customHeight="1">
      <c r="A3577" s="515">
        <f t="shared" si="1101"/>
        <v>0</v>
      </c>
      <c r="B3577" s="478">
        <f t="shared" si="1102"/>
        <v>0</v>
      </c>
      <c r="C3577" s="469"/>
      <c r="D3577" s="479">
        <f t="shared" si="1103"/>
        <v>0</v>
      </c>
      <c r="E3577" s="472">
        <f t="shared" si="1104"/>
        <v>0</v>
      </c>
      <c r="F3577" s="475">
        <f>IF(C3577="",0,IFERROR(VLOOKUP(COUNTIF($A$1:A3577,"ANALISIS DE PRECIOS"),T_Rendimiento_Equipo,5,FALSE),0))</f>
        <v>0</v>
      </c>
      <c r="G3577" s="472">
        <f t="shared" si="1105"/>
        <v>0</v>
      </c>
    </row>
    <row r="3578" spans="1:7" ht="19.899999999999999" customHeight="1">
      <c r="A3578" s="516"/>
      <c r="B3578" s="459"/>
      <c r="C3578" s="163"/>
      <c r="D3578" s="459"/>
      <c r="E3578" s="460"/>
      <c r="F3578" s="650" t="s">
        <v>26</v>
      </c>
      <c r="G3578" s="517">
        <f>SUBTOTAL(9,G3569:G3577)</f>
        <v>0</v>
      </c>
    </row>
    <row r="3579" spans="1:7" ht="19.899999999999999" customHeight="1">
      <c r="A3579" s="513"/>
      <c r="B3579" s="163"/>
      <c r="C3579" s="455" t="s">
        <v>712</v>
      </c>
      <c r="D3579" s="459"/>
      <c r="E3579" s="460"/>
      <c r="F3579" s="461"/>
      <c r="G3579" s="514"/>
    </row>
    <row r="3580" spans="1:7" ht="19.899999999999999" customHeight="1">
      <c r="A3580" s="677" t="s">
        <v>575</v>
      </c>
      <c r="B3580" s="678"/>
      <c r="C3580" s="679" t="s">
        <v>0</v>
      </c>
      <c r="D3580" s="681" t="s">
        <v>23</v>
      </c>
      <c r="E3580" s="681" t="s">
        <v>1830</v>
      </c>
      <c r="F3580" s="683" t="s">
        <v>1006</v>
      </c>
      <c r="G3580" s="685" t="s">
        <v>25</v>
      </c>
    </row>
    <row r="3581" spans="1:7" ht="19.899999999999999" customHeight="1">
      <c r="A3581" s="477" t="s">
        <v>576</v>
      </c>
      <c r="B3581" s="477" t="s">
        <v>577</v>
      </c>
      <c r="C3581" s="680"/>
      <c r="D3581" s="682"/>
      <c r="E3581" s="682"/>
      <c r="F3581" s="684"/>
      <c r="G3581" s="686"/>
    </row>
    <row r="3582" spans="1:7" ht="19.899999999999999" customHeight="1">
      <c r="A3582" s="515">
        <f t="shared" ref="A3582:A3588" si="1106">IFERROR(VLOOKUP(C3582,T_Insumos,4,FALSE),0)</f>
        <v>0</v>
      </c>
      <c r="B3582" s="478">
        <f t="shared" ref="B3582:B3588" si="1107">IFERROR(VLOOKUP(C3582,T_Insumos,5,FALSE),0)</f>
        <v>0</v>
      </c>
      <c r="C3582" s="482"/>
      <c r="D3582" s="475"/>
      <c r="E3582" s="472">
        <f t="shared" ref="E3582:E3588" si="1108">IFERROR(VLOOKUP(C3582,T_Insumos,3,FALSE),0)</f>
        <v>0</v>
      </c>
      <c r="F3582" s="475">
        <f>IF(C3582="",0,IFERROR(VLOOKUP(COUNTIF($A$1:A3582,"ANALISIS DE PRECIOS"),T_Rendimiento_Equipo,5,FALSE),0))</f>
        <v>0</v>
      </c>
      <c r="G3582" s="472">
        <f>IFERROR(ROUND(D3582*E3582/F3582,2),0)</f>
        <v>0</v>
      </c>
    </row>
    <row r="3583" spans="1:7" ht="19.899999999999999" customHeight="1">
      <c r="A3583" s="515">
        <f t="shared" si="1106"/>
        <v>0</v>
      </c>
      <c r="B3583" s="478">
        <f t="shared" si="1107"/>
        <v>0</v>
      </c>
      <c r="C3583" s="469"/>
      <c r="D3583" s="475"/>
      <c r="E3583" s="472">
        <f t="shared" si="1108"/>
        <v>0</v>
      </c>
      <c r="F3583" s="475">
        <f>IF(C3583="",0,IFERROR(VLOOKUP(COUNTIF($A$1:A3583,"ANALISIS DE PRECIOS"),T_Rendimiento_Equipo,5,FALSE),0))</f>
        <v>0</v>
      </c>
      <c r="G3583" s="472">
        <f t="shared" ref="G3583:G3588" si="1109">IFERROR(ROUND(D3583*E3583/F3583,2),0)</f>
        <v>0</v>
      </c>
    </row>
    <row r="3584" spans="1:7" ht="19.899999999999999" customHeight="1">
      <c r="A3584" s="515">
        <f t="shared" si="1106"/>
        <v>0</v>
      </c>
      <c r="B3584" s="478">
        <f t="shared" si="1107"/>
        <v>0</v>
      </c>
      <c r="C3584" s="469"/>
      <c r="D3584" s="475"/>
      <c r="E3584" s="472">
        <f t="shared" si="1108"/>
        <v>0</v>
      </c>
      <c r="F3584" s="475">
        <f>IF(C3584="",0,IFERROR(VLOOKUP(COUNTIF($A$1:A3584,"ANALISIS DE PRECIOS"),T_Rendimiento_Equipo,5,FALSE),0))</f>
        <v>0</v>
      </c>
      <c r="G3584" s="472">
        <f t="shared" si="1109"/>
        <v>0</v>
      </c>
    </row>
    <row r="3585" spans="1:7" ht="19.899999999999999" customHeight="1">
      <c r="A3585" s="515">
        <f t="shared" si="1106"/>
        <v>0</v>
      </c>
      <c r="B3585" s="478">
        <f t="shared" si="1107"/>
        <v>0</v>
      </c>
      <c r="C3585" s="469"/>
      <c r="D3585" s="475"/>
      <c r="E3585" s="472">
        <f t="shared" si="1108"/>
        <v>0</v>
      </c>
      <c r="F3585" s="475">
        <f>IF(C3585="",0,IFERROR(VLOOKUP(COUNTIF($A$1:A3585,"ANALISIS DE PRECIOS"),T_Rendimiento_Equipo,5,FALSE),0))</f>
        <v>0</v>
      </c>
      <c r="G3585" s="472">
        <f t="shared" si="1109"/>
        <v>0</v>
      </c>
    </row>
    <row r="3586" spans="1:7" ht="19.899999999999999" customHeight="1">
      <c r="A3586" s="515">
        <f t="shared" si="1106"/>
        <v>0</v>
      </c>
      <c r="B3586" s="478">
        <f t="shared" si="1107"/>
        <v>0</v>
      </c>
      <c r="C3586" s="469"/>
      <c r="D3586" s="475"/>
      <c r="E3586" s="472">
        <f t="shared" si="1108"/>
        <v>0</v>
      </c>
      <c r="F3586" s="475">
        <f>IF(C3586="",0,IFERROR(VLOOKUP(COUNTIF($A$1:A3586,"ANALISIS DE PRECIOS"),T_Rendimiento_Equipo,5,FALSE),0))</f>
        <v>0</v>
      </c>
      <c r="G3586" s="472">
        <f t="shared" si="1109"/>
        <v>0</v>
      </c>
    </row>
    <row r="3587" spans="1:7" ht="19.899999999999999" customHeight="1">
      <c r="A3587" s="515">
        <f t="shared" si="1106"/>
        <v>0</v>
      </c>
      <c r="B3587" s="478">
        <f t="shared" si="1107"/>
        <v>0</v>
      </c>
      <c r="C3587" s="469"/>
      <c r="D3587" s="483"/>
      <c r="E3587" s="472">
        <f t="shared" si="1108"/>
        <v>0</v>
      </c>
      <c r="F3587" s="475">
        <f>IF(C3587="",0,IFERROR(VLOOKUP(COUNTIF($A$1:A3587,"ANALISIS DE PRECIOS"),T_Rendimiento_Equipo,5,FALSE),0))</f>
        <v>0</v>
      </c>
      <c r="G3587" s="472">
        <f t="shared" si="1109"/>
        <v>0</v>
      </c>
    </row>
    <row r="3588" spans="1:7" ht="19.899999999999999" customHeight="1">
      <c r="A3588" s="515">
        <f t="shared" si="1106"/>
        <v>0</v>
      </c>
      <c r="B3588" s="478">
        <f t="shared" si="1107"/>
        <v>0</v>
      </c>
      <c r="C3588" s="478"/>
      <c r="D3588" s="484"/>
      <c r="E3588" s="472">
        <f t="shared" si="1108"/>
        <v>0</v>
      </c>
      <c r="F3588" s="475">
        <f>IF(C3588="",0,IFERROR(VLOOKUP(COUNTIF($A$1:A3588,"ANALISIS DE PRECIOS"),T_Rendimiento_Equipo,5,FALSE),0))</f>
        <v>0</v>
      </c>
      <c r="G3588" s="472">
        <f t="shared" si="1109"/>
        <v>0</v>
      </c>
    </row>
    <row r="3589" spans="1:7" ht="19.899999999999999" customHeight="1">
      <c r="A3589" s="516"/>
      <c r="B3589" s="459"/>
      <c r="C3589" s="163"/>
      <c r="D3589" s="459"/>
      <c r="E3589" s="460"/>
      <c r="F3589" s="650" t="s">
        <v>27</v>
      </c>
      <c r="G3589" s="518">
        <f>SUBTOTAL(9,G3582:G3588)</f>
        <v>0</v>
      </c>
    </row>
    <row r="3590" spans="1:7" ht="19.899999999999999" customHeight="1">
      <c r="A3590" s="513"/>
      <c r="B3590" s="163"/>
      <c r="C3590" s="455" t="s">
        <v>1013</v>
      </c>
      <c r="D3590" s="459"/>
      <c r="E3590" s="460"/>
      <c r="F3590" s="461"/>
      <c r="G3590" s="514"/>
    </row>
    <row r="3591" spans="1:7" ht="19.899999999999999" customHeight="1">
      <c r="A3591" s="677" t="s">
        <v>575</v>
      </c>
      <c r="B3591" s="678"/>
      <c r="C3591" s="679" t="s">
        <v>0</v>
      </c>
      <c r="D3591" s="679" t="s">
        <v>1865</v>
      </c>
      <c r="E3591" s="681" t="s">
        <v>23</v>
      </c>
      <c r="F3591" s="683" t="s">
        <v>24</v>
      </c>
      <c r="G3591" s="685" t="s">
        <v>25</v>
      </c>
    </row>
    <row r="3592" spans="1:7" ht="19.899999999999999" customHeight="1">
      <c r="A3592" s="477" t="s">
        <v>576</v>
      </c>
      <c r="B3592" s="477" t="s">
        <v>577</v>
      </c>
      <c r="C3592" s="680"/>
      <c r="D3592" s="680"/>
      <c r="E3592" s="682"/>
      <c r="F3592" s="684"/>
      <c r="G3592" s="686"/>
    </row>
    <row r="3593" spans="1:7" ht="19.899999999999999" customHeight="1">
      <c r="A3593" s="515">
        <f t="shared" ref="A3593:A3603" si="1110">IFERROR(VLOOKUP(C3593,T_Insumos,4,FALSE),0)</f>
        <v>0</v>
      </c>
      <c r="B3593" s="478">
        <f t="shared" ref="B3593:B3603" si="1111">IFERROR(VLOOKUP(C3593,T_Insumos,5,FALSE),0)</f>
        <v>0</v>
      </c>
      <c r="C3593" s="478"/>
      <c r="D3593" s="526">
        <f t="shared" ref="D3593:D3603" si="1112">IFERROR(VLOOKUP(C3593,T_Insumos,2,FALSE),0)</f>
        <v>0</v>
      </c>
      <c r="E3593" s="470"/>
      <c r="F3593" s="472">
        <f t="shared" ref="F3593:F3603" si="1113">IFERROR(VLOOKUP(C3593,T_Insumos,3,FALSE),0)</f>
        <v>0</v>
      </c>
      <c r="G3593" s="472">
        <f>ROUND(E3593*F3593,2)</f>
        <v>0</v>
      </c>
    </row>
    <row r="3594" spans="1:7" ht="19.899999999999999" customHeight="1">
      <c r="A3594" s="515">
        <f t="shared" si="1110"/>
        <v>0</v>
      </c>
      <c r="B3594" s="478">
        <f t="shared" si="1111"/>
        <v>0</v>
      </c>
      <c r="C3594" s="478"/>
      <c r="D3594" s="526">
        <f t="shared" si="1112"/>
        <v>0</v>
      </c>
      <c r="E3594" s="470"/>
      <c r="F3594" s="472">
        <f t="shared" si="1113"/>
        <v>0</v>
      </c>
      <c r="G3594" s="472">
        <f t="shared" ref="G3594:G3603" si="1114">ROUND(E3594*F3594,2)</f>
        <v>0</v>
      </c>
    </row>
    <row r="3595" spans="1:7" ht="19.899999999999999" customHeight="1">
      <c r="A3595" s="515">
        <f t="shared" si="1110"/>
        <v>0</v>
      </c>
      <c r="B3595" s="478">
        <f t="shared" si="1111"/>
        <v>0</v>
      </c>
      <c r="C3595" s="478"/>
      <c r="D3595" s="526">
        <f t="shared" si="1112"/>
        <v>0</v>
      </c>
      <c r="E3595" s="470"/>
      <c r="F3595" s="472">
        <f t="shared" si="1113"/>
        <v>0</v>
      </c>
      <c r="G3595" s="472">
        <f t="shared" si="1114"/>
        <v>0</v>
      </c>
    </row>
    <row r="3596" spans="1:7" ht="19.899999999999999" customHeight="1">
      <c r="A3596" s="515">
        <f t="shared" si="1110"/>
        <v>0</v>
      </c>
      <c r="B3596" s="478">
        <f t="shared" si="1111"/>
        <v>0</v>
      </c>
      <c r="C3596" s="478"/>
      <c r="D3596" s="526">
        <f t="shared" si="1112"/>
        <v>0</v>
      </c>
      <c r="E3596" s="470"/>
      <c r="F3596" s="472">
        <f t="shared" si="1113"/>
        <v>0</v>
      </c>
      <c r="G3596" s="472">
        <f t="shared" si="1114"/>
        <v>0</v>
      </c>
    </row>
    <row r="3597" spans="1:7" ht="19.899999999999999" customHeight="1">
      <c r="A3597" s="515">
        <f t="shared" si="1110"/>
        <v>0</v>
      </c>
      <c r="B3597" s="478">
        <f t="shared" si="1111"/>
        <v>0</v>
      </c>
      <c r="C3597" s="478"/>
      <c r="D3597" s="526">
        <f t="shared" si="1112"/>
        <v>0</v>
      </c>
      <c r="E3597" s="470"/>
      <c r="F3597" s="472">
        <f t="shared" si="1113"/>
        <v>0</v>
      </c>
      <c r="G3597" s="472">
        <f t="shared" si="1114"/>
        <v>0</v>
      </c>
    </row>
    <row r="3598" spans="1:7" ht="19.899999999999999" customHeight="1">
      <c r="A3598" s="515">
        <f t="shared" si="1110"/>
        <v>0</v>
      </c>
      <c r="B3598" s="478">
        <f t="shared" si="1111"/>
        <v>0</v>
      </c>
      <c r="C3598" s="478"/>
      <c r="D3598" s="526">
        <f t="shared" si="1112"/>
        <v>0</v>
      </c>
      <c r="E3598" s="470"/>
      <c r="F3598" s="472">
        <f t="shared" si="1113"/>
        <v>0</v>
      </c>
      <c r="G3598" s="472">
        <f t="shared" si="1114"/>
        <v>0</v>
      </c>
    </row>
    <row r="3599" spans="1:7" ht="19.899999999999999" customHeight="1">
      <c r="A3599" s="515">
        <f t="shared" si="1110"/>
        <v>0</v>
      </c>
      <c r="B3599" s="478">
        <f t="shared" si="1111"/>
        <v>0</v>
      </c>
      <c r="C3599" s="478"/>
      <c r="D3599" s="526">
        <f t="shared" si="1112"/>
        <v>0</v>
      </c>
      <c r="E3599" s="470"/>
      <c r="F3599" s="472">
        <f t="shared" si="1113"/>
        <v>0</v>
      </c>
      <c r="G3599" s="472">
        <f t="shared" si="1114"/>
        <v>0</v>
      </c>
    </row>
    <row r="3600" spans="1:7" ht="19.899999999999999" customHeight="1">
      <c r="A3600" s="515">
        <f t="shared" si="1110"/>
        <v>0</v>
      </c>
      <c r="B3600" s="478">
        <f t="shared" si="1111"/>
        <v>0</v>
      </c>
      <c r="C3600" s="478"/>
      <c r="D3600" s="526">
        <f t="shared" si="1112"/>
        <v>0</v>
      </c>
      <c r="E3600" s="470"/>
      <c r="F3600" s="472">
        <f t="shared" si="1113"/>
        <v>0</v>
      </c>
      <c r="G3600" s="472">
        <f t="shared" si="1114"/>
        <v>0</v>
      </c>
    </row>
    <row r="3601" spans="1:7" ht="19.899999999999999" customHeight="1">
      <c r="A3601" s="515">
        <f t="shared" si="1110"/>
        <v>0</v>
      </c>
      <c r="B3601" s="478">
        <f t="shared" si="1111"/>
        <v>0</v>
      </c>
      <c r="C3601" s="478"/>
      <c r="D3601" s="526">
        <f t="shared" si="1112"/>
        <v>0</v>
      </c>
      <c r="E3601" s="470"/>
      <c r="F3601" s="472">
        <f t="shared" si="1113"/>
        <v>0</v>
      </c>
      <c r="G3601" s="472">
        <f t="shared" si="1114"/>
        <v>0</v>
      </c>
    </row>
    <row r="3602" spans="1:7" ht="19.899999999999999" customHeight="1">
      <c r="A3602" s="515">
        <f t="shared" si="1110"/>
        <v>0</v>
      </c>
      <c r="B3602" s="478">
        <f t="shared" si="1111"/>
        <v>0</v>
      </c>
      <c r="C3602" s="478"/>
      <c r="D3602" s="526">
        <f t="shared" si="1112"/>
        <v>0</v>
      </c>
      <c r="E3602" s="470"/>
      <c r="F3602" s="472">
        <f t="shared" si="1113"/>
        <v>0</v>
      </c>
      <c r="G3602" s="472">
        <f t="shared" si="1114"/>
        <v>0</v>
      </c>
    </row>
    <row r="3603" spans="1:7" ht="19.899999999999999" customHeight="1">
      <c r="A3603" s="515">
        <f t="shared" si="1110"/>
        <v>0</v>
      </c>
      <c r="B3603" s="478">
        <f t="shared" si="1111"/>
        <v>0</v>
      </c>
      <c r="C3603" s="478"/>
      <c r="D3603" s="526">
        <f t="shared" si="1112"/>
        <v>0</v>
      </c>
      <c r="E3603" s="470"/>
      <c r="F3603" s="472">
        <f t="shared" si="1113"/>
        <v>0</v>
      </c>
      <c r="G3603" s="472">
        <f t="shared" si="1114"/>
        <v>0</v>
      </c>
    </row>
    <row r="3604" spans="1:7" ht="19.899999999999999" customHeight="1">
      <c r="A3604" s="513"/>
      <c r="B3604" s="163"/>
      <c r="C3604" s="163"/>
      <c r="D3604" s="459"/>
      <c r="E3604" s="460"/>
      <c r="F3604" s="650" t="s">
        <v>28</v>
      </c>
      <c r="G3604" s="518">
        <f>SUBTOTAL(9,G3593:G3603)</f>
        <v>0</v>
      </c>
    </row>
    <row r="3605" spans="1:7" ht="19.899999999999999" customHeight="1">
      <c r="A3605" s="513"/>
      <c r="B3605" s="163"/>
      <c r="C3605" s="455" t="s">
        <v>1014</v>
      </c>
      <c r="D3605" s="459"/>
      <c r="E3605" s="460"/>
      <c r="F3605" s="461"/>
      <c r="G3605" s="514"/>
    </row>
    <row r="3606" spans="1:7" ht="19.899999999999999" customHeight="1">
      <c r="A3606" s="677" t="s">
        <v>575</v>
      </c>
      <c r="B3606" s="678"/>
      <c r="C3606" s="679" t="s">
        <v>0</v>
      </c>
      <c r="D3606" s="679" t="s">
        <v>1865</v>
      </c>
      <c r="E3606" s="681" t="s">
        <v>23</v>
      </c>
      <c r="F3606" s="683" t="s">
        <v>24</v>
      </c>
      <c r="G3606" s="685" t="s">
        <v>25</v>
      </c>
    </row>
    <row r="3607" spans="1:7" ht="19.899999999999999" customHeight="1">
      <c r="A3607" s="477" t="s">
        <v>576</v>
      </c>
      <c r="B3607" s="477" t="s">
        <v>577</v>
      </c>
      <c r="C3607" s="680"/>
      <c r="D3607" s="680"/>
      <c r="E3607" s="682"/>
      <c r="F3607" s="684"/>
      <c r="G3607" s="686"/>
    </row>
    <row r="3608" spans="1:7" ht="19.899999999999999" customHeight="1">
      <c r="A3608" s="515">
        <f>IFERROR(VLOOKUP(C3608,T_Insumos,4,FALSE),0)</f>
        <v>0</v>
      </c>
      <c r="B3608" s="478">
        <f>IFERROR(VLOOKUP(C3608,T_Insumos,5,FALSE),0)</f>
        <v>0</v>
      </c>
      <c r="C3608" s="469"/>
      <c r="D3608" s="526">
        <f>IF(C3608=0,0,"$/tnkm")</f>
        <v>0</v>
      </c>
      <c r="E3608" s="470"/>
      <c r="F3608" s="472">
        <f>IFERROR(VLOOKUP(C3608,T_Insumos,3,FALSE),0)</f>
        <v>0</v>
      </c>
      <c r="G3608" s="472">
        <f>ROUND(E3608*F3608,2)</f>
        <v>0</v>
      </c>
    </row>
    <row r="3609" spans="1:7" ht="19.899999999999999" customHeight="1">
      <c r="A3609" s="515">
        <f>IFERROR(VLOOKUP(C3609,T_Insumos,4,FALSE),0)</f>
        <v>0</v>
      </c>
      <c r="B3609" s="478">
        <f>IFERROR(VLOOKUP(C3609,T_Insumos,5,FALSE),0)</f>
        <v>0</v>
      </c>
      <c r="C3609" s="469"/>
      <c r="D3609" s="526">
        <f>IF(C3609=0,0,"$/tnkm")</f>
        <v>0</v>
      </c>
      <c r="E3609" s="486"/>
      <c r="F3609" s="472">
        <f>IFERROR(VLOOKUP(C3609,T_Insumos,3,FALSE),0)</f>
        <v>0</v>
      </c>
      <c r="G3609" s="472">
        <f t="shared" ref="G3609" si="1115">ROUND(E3609*F3609,2)</f>
        <v>0</v>
      </c>
    </row>
    <row r="3610" spans="1:7" ht="19.899999999999999" customHeight="1">
      <c r="A3610" s="513"/>
      <c r="B3610" s="163"/>
      <c r="C3610" s="163"/>
      <c r="D3610" s="459"/>
      <c r="E3610" s="460"/>
      <c r="F3610" s="650" t="s">
        <v>1015</v>
      </c>
      <c r="G3610" s="518">
        <f>SUBTOTAL(9,G3608:G3609)</f>
        <v>0</v>
      </c>
    </row>
    <row r="3611" spans="1:7" ht="19.899999999999999" customHeight="1">
      <c r="A3611" s="516"/>
      <c r="B3611" s="459"/>
      <c r="C3611" s="163"/>
      <c r="D3611" s="459"/>
      <c r="E3611" s="460"/>
      <c r="F3611" s="461"/>
      <c r="G3611" s="514"/>
    </row>
    <row r="3612" spans="1:7" ht="19.899999999999999" customHeight="1">
      <c r="A3612" s="574" t="str">
        <f>B3546</f>
        <v>6.2.9</v>
      </c>
      <c r="B3612" s="571" t="str">
        <f ca="1">C3546</f>
        <v>provision e instalacion de pernos de anclaje en estribos</v>
      </c>
      <c r="C3612" s="459"/>
      <c r="D3612" s="459" t="s">
        <v>1831</v>
      </c>
      <c r="E3612" s="572"/>
      <c r="F3612" s="573" t="str">
        <f ca="1">"$/"&amp;G3546</f>
        <v>$/unidad</v>
      </c>
      <c r="G3612" s="523">
        <f>SUBTOTAL(9,G3569:G3611)</f>
        <v>0</v>
      </c>
    </row>
    <row r="3613" spans="1:7" ht="19.899999999999999" customHeight="1">
      <c r="A3613" s="519"/>
      <c r="B3613" s="520"/>
      <c r="C3613" s="521"/>
      <c r="D3613" s="521" t="s">
        <v>2041</v>
      </c>
      <c r="E3613" s="522"/>
      <c r="F3613" s="575" t="str">
        <f ca="1">"$/"&amp;G3546</f>
        <v>$/unidad</v>
      </c>
      <c r="G3613" s="523">
        <f>ROUND(G3612*Coeficiente_Paso,2)</f>
        <v>0</v>
      </c>
    </row>
    <row r="3614" spans="1:7" ht="19.899999999999999" customHeight="1">
      <c r="A3614" s="163"/>
      <c r="B3614" s="163"/>
      <c r="C3614" s="163"/>
      <c r="D3614" s="163"/>
      <c r="E3614" s="163"/>
      <c r="F3614" s="163"/>
      <c r="G3614" s="163"/>
    </row>
    <row r="3615" spans="1:7" ht="19.899999999999999" customHeight="1">
      <c r="A3615" s="687" t="s">
        <v>30</v>
      </c>
      <c r="B3615" s="688"/>
      <c r="C3615" s="688"/>
      <c r="D3615" s="688"/>
      <c r="E3615" s="688"/>
      <c r="F3615" s="688"/>
      <c r="G3615" s="689"/>
    </row>
    <row r="3616" spans="1:7" ht="19.899999999999999" customHeight="1">
      <c r="A3616" s="502" t="s">
        <v>710</v>
      </c>
      <c r="B3616" s="453" t="str">
        <f>Comitente</f>
        <v>DEPARTAMENTO DE HIDRAULICA</v>
      </c>
      <c r="C3616" s="454"/>
      <c r="D3616" s="455"/>
      <c r="E3616" s="455"/>
      <c r="F3616" s="456"/>
      <c r="G3616" s="503"/>
    </row>
    <row r="3617" spans="1:7" ht="19.899999999999999" customHeight="1">
      <c r="A3617" s="502" t="s">
        <v>711</v>
      </c>
      <c r="B3617" s="453">
        <f>Contratista</f>
        <v>0</v>
      </c>
      <c r="C3617" s="457"/>
      <c r="D3617" s="457"/>
      <c r="E3617" s="457"/>
      <c r="F3617" s="453"/>
      <c r="G3617" s="504"/>
    </row>
    <row r="3618" spans="1:7" ht="19.899999999999999" customHeight="1">
      <c r="A3618" s="502" t="s">
        <v>20</v>
      </c>
      <c r="B3618" s="453" t="str">
        <f>Obra</f>
        <v>MEJORA DE LA RED DE RIEGO DEL VALLE DE JÁCHAL</v>
      </c>
      <c r="C3618" s="457"/>
      <c r="D3618" s="457"/>
      <c r="E3618" s="457"/>
      <c r="F3618" s="453" t="s">
        <v>31</v>
      </c>
      <c r="G3618" s="504" t="str">
        <f>Fecha_Base</f>
        <v>XX/07/2020</v>
      </c>
    </row>
    <row r="3619" spans="1:7" ht="19.899999999999999" customHeight="1">
      <c r="A3619" s="505" t="s">
        <v>709</v>
      </c>
      <c r="B3619" s="458" t="str">
        <f>Ubicación</f>
        <v>JACHAL</v>
      </c>
      <c r="C3619" s="458"/>
      <c r="D3619" s="459"/>
      <c r="E3619" s="460"/>
      <c r="F3619" s="461"/>
      <c r="G3619" s="506"/>
    </row>
    <row r="3620" spans="1:7" ht="19.899999999999999" customHeight="1">
      <c r="A3620" s="505" t="s">
        <v>32</v>
      </c>
      <c r="B3620" s="462">
        <f>IFERROR(VALUE(LEFT(B3621,FIND(".",B3621)-1)),"")</f>
        <v>6</v>
      </c>
      <c r="C3620" s="163" t="str">
        <f ca="1">IFERROR(VLOOKUP(B3620,T_Computo_Presupuesto,2,FALSE),0)</f>
        <v>CANAL DEL NORTE</v>
      </c>
      <c r="D3620" s="163"/>
      <c r="E3620" s="460"/>
      <c r="F3620" s="461"/>
      <c r="G3620" s="506"/>
    </row>
    <row r="3621" spans="1:7" ht="19.899999999999999" customHeight="1">
      <c r="A3621" s="505" t="s">
        <v>21</v>
      </c>
      <c r="B3621" s="463" t="str">
        <f>IFERROR(VLOOKUP(COUNTIF($A$1:A3621,"ANALISIS DE PRECIOS"),T_NumeroItem,2,FALSE),"")</f>
        <v>6.2.10</v>
      </c>
      <c r="C3621" s="690" t="str">
        <f ca="1">IFERROR(VLOOKUP(B3621,T_Computo_Presupuesto,2,FALSE),0)</f>
        <v>Proteccion convertidor de óxido</v>
      </c>
      <c r="D3621" s="690"/>
      <c r="E3621" s="690"/>
      <c r="F3621" s="458" t="s">
        <v>22</v>
      </c>
      <c r="G3621" s="507" t="str">
        <f ca="1">IFERROR(VLOOKUP(B3621,T_Computo_Presupuesto,4,FALSE),0)</f>
        <v>litros</v>
      </c>
    </row>
    <row r="3622" spans="1:7" ht="19.899999999999999" customHeight="1">
      <c r="A3622" s="505"/>
      <c r="B3622" s="458"/>
      <c r="C3622" s="163"/>
      <c r="D3622" s="459"/>
      <c r="E3622" s="460"/>
      <c r="F3622" s="163"/>
      <c r="G3622" s="508"/>
    </row>
    <row r="3623" spans="1:7" ht="19.899999999999999" customHeight="1">
      <c r="A3623" s="509"/>
      <c r="B3623" s="464"/>
      <c r="C3623" s="465" t="s">
        <v>998</v>
      </c>
      <c r="D3623" s="464"/>
      <c r="E3623" s="464"/>
      <c r="F3623" s="464"/>
      <c r="G3623" s="510"/>
    </row>
    <row r="3624" spans="1:7" ht="19.899999999999999" customHeight="1">
      <c r="A3624" s="505"/>
      <c r="B3624" s="466"/>
      <c r="C3624" s="163"/>
      <c r="D3624" s="459"/>
      <c r="E3624" s="460"/>
      <c r="F3624" s="458"/>
      <c r="G3624" s="507"/>
    </row>
    <row r="3625" spans="1:7" ht="19.899999999999999" customHeight="1">
      <c r="A3625" s="505"/>
      <c r="B3625" s="466"/>
      <c r="C3625" s="467" t="s">
        <v>999</v>
      </c>
      <c r="D3625" s="468" t="s">
        <v>23</v>
      </c>
      <c r="E3625" s="468" t="s">
        <v>1000</v>
      </c>
      <c r="F3625" s="468" t="s">
        <v>1001</v>
      </c>
      <c r="G3625" s="467" t="s">
        <v>1002</v>
      </c>
    </row>
    <row r="3626" spans="1:7" ht="19.899999999999999" customHeight="1">
      <c r="A3626" s="505"/>
      <c r="B3626" s="466"/>
      <c r="C3626" s="469"/>
      <c r="D3626" s="470"/>
      <c r="E3626" s="471">
        <f t="shared" ref="E3626:E3635" si="1116">IFERROR(VLOOKUP(C3626,T_Equipos,4,FALSE),0)</f>
        <v>0</v>
      </c>
      <c r="F3626" s="472">
        <f t="shared" ref="F3626:F3635" si="1117">IFERROR(VLOOKUP(C3626,T_Equipos,5,FALSE),0)</f>
        <v>0</v>
      </c>
      <c r="G3626" s="472">
        <f>ROUND(D3626*F3626,2)</f>
        <v>0</v>
      </c>
    </row>
    <row r="3627" spans="1:7" ht="19.899999999999999" customHeight="1">
      <c r="A3627" s="505"/>
      <c r="B3627" s="466"/>
      <c r="C3627" s="469"/>
      <c r="D3627" s="470"/>
      <c r="E3627" s="471">
        <f t="shared" si="1116"/>
        <v>0</v>
      </c>
      <c r="F3627" s="472">
        <f t="shared" si="1117"/>
        <v>0</v>
      </c>
      <c r="G3627" s="472">
        <f>ROUND(D3627*F3627,2)</f>
        <v>0</v>
      </c>
    </row>
    <row r="3628" spans="1:7" ht="19.899999999999999" customHeight="1">
      <c r="A3628" s="505"/>
      <c r="B3628" s="466"/>
      <c r="C3628" s="469"/>
      <c r="D3628" s="470"/>
      <c r="E3628" s="471">
        <f t="shared" si="1116"/>
        <v>0</v>
      </c>
      <c r="F3628" s="472">
        <f t="shared" si="1117"/>
        <v>0</v>
      </c>
      <c r="G3628" s="472">
        <f>ROUND(D3628*F3628,2)</f>
        <v>0</v>
      </c>
    </row>
    <row r="3629" spans="1:7" ht="19.899999999999999" customHeight="1">
      <c r="A3629" s="505"/>
      <c r="B3629" s="466"/>
      <c r="C3629" s="469"/>
      <c r="D3629" s="470"/>
      <c r="E3629" s="471">
        <f t="shared" si="1116"/>
        <v>0</v>
      </c>
      <c r="F3629" s="472">
        <f t="shared" si="1117"/>
        <v>0</v>
      </c>
      <c r="G3629" s="472">
        <f>ROUND(D3629*F3629,2)</f>
        <v>0</v>
      </c>
    </row>
    <row r="3630" spans="1:7" ht="19.899999999999999" customHeight="1">
      <c r="A3630" s="505"/>
      <c r="B3630" s="466"/>
      <c r="C3630" s="469"/>
      <c r="D3630" s="470"/>
      <c r="E3630" s="471">
        <f t="shared" si="1116"/>
        <v>0</v>
      </c>
      <c r="F3630" s="472">
        <f t="shared" si="1117"/>
        <v>0</v>
      </c>
      <c r="G3630" s="472">
        <f t="shared" ref="G3630:G3635" si="1118">ROUND(D3630*F3630,2)</f>
        <v>0</v>
      </c>
    </row>
    <row r="3631" spans="1:7" ht="19.899999999999999" customHeight="1">
      <c r="A3631" s="505"/>
      <c r="B3631" s="466"/>
      <c r="C3631" s="469"/>
      <c r="D3631" s="470"/>
      <c r="E3631" s="471">
        <f t="shared" si="1116"/>
        <v>0</v>
      </c>
      <c r="F3631" s="472">
        <f t="shared" si="1117"/>
        <v>0</v>
      </c>
      <c r="G3631" s="472">
        <f t="shared" si="1118"/>
        <v>0</v>
      </c>
    </row>
    <row r="3632" spans="1:7" ht="19.899999999999999" customHeight="1">
      <c r="A3632" s="505"/>
      <c r="B3632" s="466"/>
      <c r="C3632" s="469"/>
      <c r="D3632" s="470"/>
      <c r="E3632" s="471">
        <f t="shared" si="1116"/>
        <v>0</v>
      </c>
      <c r="F3632" s="472">
        <f t="shared" si="1117"/>
        <v>0</v>
      </c>
      <c r="G3632" s="472">
        <f t="shared" si="1118"/>
        <v>0</v>
      </c>
    </row>
    <row r="3633" spans="1:7" ht="19.899999999999999" customHeight="1">
      <c r="A3633" s="505"/>
      <c r="B3633" s="466"/>
      <c r="C3633" s="469"/>
      <c r="D3633" s="470"/>
      <c r="E3633" s="471">
        <f t="shared" si="1116"/>
        <v>0</v>
      </c>
      <c r="F3633" s="472">
        <f t="shared" si="1117"/>
        <v>0</v>
      </c>
      <c r="G3633" s="472">
        <f t="shared" si="1118"/>
        <v>0</v>
      </c>
    </row>
    <row r="3634" spans="1:7" ht="19.899999999999999" customHeight="1">
      <c r="A3634" s="505"/>
      <c r="B3634" s="466"/>
      <c r="C3634" s="469"/>
      <c r="D3634" s="470"/>
      <c r="E3634" s="471">
        <f t="shared" si="1116"/>
        <v>0</v>
      </c>
      <c r="F3634" s="472">
        <f t="shared" si="1117"/>
        <v>0</v>
      </c>
      <c r="G3634" s="472">
        <f t="shared" si="1118"/>
        <v>0</v>
      </c>
    </row>
    <row r="3635" spans="1:7" ht="19.899999999999999" customHeight="1">
      <c r="A3635" s="505"/>
      <c r="B3635" s="466"/>
      <c r="C3635" s="469"/>
      <c r="D3635" s="470"/>
      <c r="E3635" s="471">
        <f t="shared" si="1116"/>
        <v>0</v>
      </c>
      <c r="F3635" s="472">
        <f t="shared" si="1117"/>
        <v>0</v>
      </c>
      <c r="G3635" s="472">
        <f t="shared" si="1118"/>
        <v>0</v>
      </c>
    </row>
    <row r="3636" spans="1:7" ht="19.899999999999999" customHeight="1">
      <c r="A3636" s="505"/>
      <c r="B3636" s="466"/>
      <c r="C3636" s="163"/>
      <c r="D3636" s="163"/>
      <c r="E3636" s="473"/>
      <c r="F3636" s="458"/>
      <c r="G3636" s="507"/>
    </row>
    <row r="3637" spans="1:7" ht="19.899999999999999" customHeight="1">
      <c r="A3637" s="505"/>
      <c r="B3637" s="163"/>
      <c r="C3637" s="455" t="s">
        <v>1003</v>
      </c>
      <c r="D3637" s="458" t="s">
        <v>1000</v>
      </c>
      <c r="E3637" s="524">
        <f>SUMPRODUCT(D3626:D3635,E3626:E3635)</f>
        <v>0</v>
      </c>
      <c r="F3637" s="458" t="s">
        <v>1004</v>
      </c>
      <c r="G3637" s="525">
        <f>SUM(G3626:G3635)</f>
        <v>0</v>
      </c>
    </row>
    <row r="3638" spans="1:7" ht="19.899999999999999" customHeight="1">
      <c r="A3638" s="505"/>
      <c r="B3638" s="466"/>
      <c r="C3638" s="474"/>
      <c r="D3638" s="473"/>
      <c r="E3638" s="460"/>
      <c r="F3638" s="458"/>
      <c r="G3638" s="511"/>
    </row>
    <row r="3639" spans="1:7" ht="19.899999999999999" customHeight="1">
      <c r="A3639" s="512"/>
      <c r="B3639" s="466"/>
      <c r="C3639" s="458" t="s">
        <v>1005</v>
      </c>
      <c r="D3639" s="475"/>
      <c r="E3639" s="476" t="str">
        <f ca="1">G3621&amp;"/día"</f>
        <v>litros/día</v>
      </c>
      <c r="F3639" s="452"/>
      <c r="G3639" s="507"/>
    </row>
    <row r="3640" spans="1:7" ht="19.899999999999999" customHeight="1">
      <c r="A3640" s="505"/>
      <c r="B3640" s="466"/>
      <c r="C3640" s="163"/>
      <c r="D3640" s="459"/>
      <c r="E3640" s="460"/>
      <c r="F3640" s="458"/>
      <c r="G3640" s="507"/>
    </row>
    <row r="3641" spans="1:7" ht="19.899999999999999" customHeight="1">
      <c r="A3641" s="677" t="s">
        <v>575</v>
      </c>
      <c r="B3641" s="678"/>
      <c r="C3641" s="679" t="s">
        <v>0</v>
      </c>
      <c r="D3641" s="691" t="s">
        <v>1864</v>
      </c>
      <c r="E3641" s="691" t="s">
        <v>1863</v>
      </c>
      <c r="F3641" s="683" t="s">
        <v>1006</v>
      </c>
      <c r="G3641" s="685" t="s">
        <v>25</v>
      </c>
    </row>
    <row r="3642" spans="1:7" ht="19.899999999999999" customHeight="1">
      <c r="A3642" s="477" t="s">
        <v>576</v>
      </c>
      <c r="B3642" s="477" t="s">
        <v>577</v>
      </c>
      <c r="C3642" s="680"/>
      <c r="D3642" s="692"/>
      <c r="E3642" s="682"/>
      <c r="F3642" s="684"/>
      <c r="G3642" s="686"/>
    </row>
    <row r="3643" spans="1:7" ht="19.899999999999999" customHeight="1">
      <c r="A3643" s="513"/>
      <c r="B3643" s="163"/>
      <c r="C3643" s="455" t="s">
        <v>1007</v>
      </c>
      <c r="D3643" s="460"/>
      <c r="E3643" s="460"/>
      <c r="F3643" s="163"/>
      <c r="G3643" s="514"/>
    </row>
    <row r="3644" spans="1:7" ht="19.899999999999999" customHeight="1">
      <c r="A3644" s="515">
        <f t="shared" ref="A3644:A3652" si="1119">IFERROR(VLOOKUP(C3644,T_Insumos,4,FALSE),0)</f>
        <v>0</v>
      </c>
      <c r="B3644" s="478">
        <f t="shared" ref="B3644:B3652" si="1120">IFERROR(VLOOKUP(C3644,T_Insumos,5,FALSE),0)</f>
        <v>0</v>
      </c>
      <c r="C3644" s="469"/>
      <c r="D3644" s="479">
        <f t="shared" ref="D3644:D3652" si="1121">IFERROR(VLOOKUP(C3644,T_Insumos,3,FALSE),0)</f>
        <v>0</v>
      </c>
      <c r="E3644" s="472">
        <f>D3644*$G$23</f>
        <v>0</v>
      </c>
      <c r="F3644" s="475">
        <f>IF(C3644="",0,IFERROR(VLOOKUP(COUNTIF($A$1:A3644,"ANALISIS DE PRECIOS"),T_Rendimiento_Equipo,5,FALSE),0))</f>
        <v>0</v>
      </c>
      <c r="G3644" s="472">
        <f>IFERROR(ROUND(E3644/F3644,2),0)</f>
        <v>0</v>
      </c>
    </row>
    <row r="3645" spans="1:7" ht="19.899999999999999" customHeight="1">
      <c r="A3645" s="515">
        <f t="shared" si="1119"/>
        <v>0</v>
      </c>
      <c r="B3645" s="478">
        <f t="shared" si="1120"/>
        <v>0</v>
      </c>
      <c r="C3645" s="469"/>
      <c r="D3645" s="479">
        <f t="shared" si="1121"/>
        <v>0</v>
      </c>
      <c r="E3645" s="472">
        <f t="shared" ref="E3645:E3652" si="1122">D3645*$G$23</f>
        <v>0</v>
      </c>
      <c r="F3645" s="475">
        <f>IF(C3645="",0,IFERROR(VLOOKUP(COUNTIF($A$1:A3645,"ANALISIS DE PRECIOS"),T_Rendimiento_Equipo,5,FALSE),0))</f>
        <v>0</v>
      </c>
      <c r="G3645" s="472">
        <f t="shared" ref="G3645:G3652" si="1123">IFERROR(ROUND(E3645/F3645,2),0)</f>
        <v>0</v>
      </c>
    </row>
    <row r="3646" spans="1:7" ht="19.899999999999999" customHeight="1">
      <c r="A3646" s="515">
        <f t="shared" si="1119"/>
        <v>0</v>
      </c>
      <c r="B3646" s="478">
        <f t="shared" si="1120"/>
        <v>0</v>
      </c>
      <c r="C3646" s="480"/>
      <c r="D3646" s="479">
        <f t="shared" si="1121"/>
        <v>0</v>
      </c>
      <c r="E3646" s="472">
        <f t="shared" si="1122"/>
        <v>0</v>
      </c>
      <c r="F3646" s="475">
        <f>IF(C3646="",0,IFERROR(VLOOKUP(COUNTIF($A$1:A3646,"ANALISIS DE PRECIOS"),T_Rendimiento_Equipo,5,FALSE),0))</f>
        <v>0</v>
      </c>
      <c r="G3646" s="472">
        <f t="shared" si="1123"/>
        <v>0</v>
      </c>
    </row>
    <row r="3647" spans="1:7" ht="19.899999999999999" customHeight="1">
      <c r="A3647" s="515">
        <f t="shared" si="1119"/>
        <v>0</v>
      </c>
      <c r="B3647" s="478">
        <f t="shared" si="1120"/>
        <v>0</v>
      </c>
      <c r="C3647" s="480"/>
      <c r="D3647" s="479">
        <f t="shared" si="1121"/>
        <v>0</v>
      </c>
      <c r="E3647" s="472">
        <f t="shared" si="1122"/>
        <v>0</v>
      </c>
      <c r="F3647" s="475">
        <f>IF(C3647="",0,IFERROR(VLOOKUP(COUNTIF($A$1:A3647,"ANALISIS DE PRECIOS"),T_Rendimiento_Equipo,5,FALSE),0))</f>
        <v>0</v>
      </c>
      <c r="G3647" s="472">
        <f t="shared" si="1123"/>
        <v>0</v>
      </c>
    </row>
    <row r="3648" spans="1:7" ht="19.899999999999999" customHeight="1">
      <c r="A3648" s="515">
        <f t="shared" si="1119"/>
        <v>0</v>
      </c>
      <c r="B3648" s="478">
        <f t="shared" si="1120"/>
        <v>0</v>
      </c>
      <c r="C3648" s="480"/>
      <c r="D3648" s="479">
        <f t="shared" si="1121"/>
        <v>0</v>
      </c>
      <c r="E3648" s="472">
        <f t="shared" si="1122"/>
        <v>0</v>
      </c>
      <c r="F3648" s="475">
        <f>IF(C3648="",0,IFERROR(VLOOKUP(COUNTIF($A$1:A3648,"ANALISIS DE PRECIOS"),T_Rendimiento_Equipo,5,FALSE),0))</f>
        <v>0</v>
      </c>
      <c r="G3648" s="472">
        <f t="shared" si="1123"/>
        <v>0</v>
      </c>
    </row>
    <row r="3649" spans="1:7" ht="19.899999999999999" customHeight="1">
      <c r="A3649" s="515">
        <f t="shared" si="1119"/>
        <v>0</v>
      </c>
      <c r="B3649" s="478">
        <f t="shared" si="1120"/>
        <v>0</v>
      </c>
      <c r="C3649" s="480"/>
      <c r="D3649" s="479">
        <f t="shared" si="1121"/>
        <v>0</v>
      </c>
      <c r="E3649" s="472">
        <f t="shared" si="1122"/>
        <v>0</v>
      </c>
      <c r="F3649" s="475">
        <f>IF(C3649="",0,IFERROR(VLOOKUP(COUNTIF($A$1:A3649,"ANALISIS DE PRECIOS"),T_Rendimiento_Equipo,5,FALSE),0))</f>
        <v>0</v>
      </c>
      <c r="G3649" s="472">
        <f t="shared" si="1123"/>
        <v>0</v>
      </c>
    </row>
    <row r="3650" spans="1:7" ht="19.899999999999999" customHeight="1">
      <c r="A3650" s="515">
        <f t="shared" si="1119"/>
        <v>0</v>
      </c>
      <c r="B3650" s="478">
        <f t="shared" si="1120"/>
        <v>0</v>
      </c>
      <c r="C3650" s="480"/>
      <c r="D3650" s="479">
        <f t="shared" si="1121"/>
        <v>0</v>
      </c>
      <c r="E3650" s="472">
        <f t="shared" si="1122"/>
        <v>0</v>
      </c>
      <c r="F3650" s="475">
        <f>IF(C3650="",0,IFERROR(VLOOKUP(COUNTIF($A$1:A3650,"ANALISIS DE PRECIOS"),T_Rendimiento_Equipo,5,FALSE),0))</f>
        <v>0</v>
      </c>
      <c r="G3650" s="472">
        <f t="shared" si="1123"/>
        <v>0</v>
      </c>
    </row>
    <row r="3651" spans="1:7" ht="19.899999999999999" customHeight="1">
      <c r="A3651" s="515">
        <f t="shared" si="1119"/>
        <v>0</v>
      </c>
      <c r="B3651" s="478">
        <f t="shared" si="1120"/>
        <v>0</v>
      </c>
      <c r="C3651" s="480"/>
      <c r="D3651" s="479">
        <f t="shared" si="1121"/>
        <v>0</v>
      </c>
      <c r="E3651" s="472">
        <f t="shared" si="1122"/>
        <v>0</v>
      </c>
      <c r="F3651" s="475">
        <f>IF(C3651="",0,IFERROR(VLOOKUP(COUNTIF($A$1:A3651,"ANALISIS DE PRECIOS"),T_Rendimiento_Equipo,5,FALSE),0))</f>
        <v>0</v>
      </c>
      <c r="G3651" s="472">
        <f t="shared" si="1123"/>
        <v>0</v>
      </c>
    </row>
    <row r="3652" spans="1:7" ht="19.899999999999999" customHeight="1">
      <c r="A3652" s="515">
        <f t="shared" si="1119"/>
        <v>0</v>
      </c>
      <c r="B3652" s="478">
        <f t="shared" si="1120"/>
        <v>0</v>
      </c>
      <c r="C3652" s="469"/>
      <c r="D3652" s="479">
        <f t="shared" si="1121"/>
        <v>0</v>
      </c>
      <c r="E3652" s="472">
        <f t="shared" si="1122"/>
        <v>0</v>
      </c>
      <c r="F3652" s="475">
        <f>IF(C3652="",0,IFERROR(VLOOKUP(COUNTIF($A$1:A3652,"ANALISIS DE PRECIOS"),T_Rendimiento_Equipo,5,FALSE),0))</f>
        <v>0</v>
      </c>
      <c r="G3652" s="472">
        <f t="shared" si="1123"/>
        <v>0</v>
      </c>
    </row>
    <row r="3653" spans="1:7" ht="19.899999999999999" customHeight="1">
      <c r="A3653" s="516"/>
      <c r="B3653" s="459"/>
      <c r="C3653" s="163"/>
      <c r="D3653" s="459"/>
      <c r="E3653" s="460"/>
      <c r="F3653" s="650" t="s">
        <v>26</v>
      </c>
      <c r="G3653" s="517">
        <f>SUBTOTAL(9,G3644:G3652)</f>
        <v>0</v>
      </c>
    </row>
    <row r="3654" spans="1:7" ht="19.899999999999999" customHeight="1">
      <c r="A3654" s="513"/>
      <c r="B3654" s="163"/>
      <c r="C3654" s="455" t="s">
        <v>712</v>
      </c>
      <c r="D3654" s="459"/>
      <c r="E3654" s="460"/>
      <c r="F3654" s="461"/>
      <c r="G3654" s="514"/>
    </row>
    <row r="3655" spans="1:7" ht="19.899999999999999" customHeight="1">
      <c r="A3655" s="677" t="s">
        <v>575</v>
      </c>
      <c r="B3655" s="678"/>
      <c r="C3655" s="679" t="s">
        <v>0</v>
      </c>
      <c r="D3655" s="681" t="s">
        <v>23</v>
      </c>
      <c r="E3655" s="681" t="s">
        <v>1830</v>
      </c>
      <c r="F3655" s="683" t="s">
        <v>1006</v>
      </c>
      <c r="G3655" s="685" t="s">
        <v>25</v>
      </c>
    </row>
    <row r="3656" spans="1:7" ht="19.899999999999999" customHeight="1">
      <c r="A3656" s="477" t="s">
        <v>576</v>
      </c>
      <c r="B3656" s="477" t="s">
        <v>577</v>
      </c>
      <c r="C3656" s="680"/>
      <c r="D3656" s="682"/>
      <c r="E3656" s="682"/>
      <c r="F3656" s="684"/>
      <c r="G3656" s="686"/>
    </row>
    <row r="3657" spans="1:7" ht="19.899999999999999" customHeight="1">
      <c r="A3657" s="515">
        <f t="shared" ref="A3657:A3663" si="1124">IFERROR(VLOOKUP(C3657,T_Insumos,4,FALSE),0)</f>
        <v>0</v>
      </c>
      <c r="B3657" s="478">
        <f t="shared" ref="B3657:B3663" si="1125">IFERROR(VLOOKUP(C3657,T_Insumos,5,FALSE),0)</f>
        <v>0</v>
      </c>
      <c r="C3657" s="482"/>
      <c r="D3657" s="475"/>
      <c r="E3657" s="472">
        <f t="shared" ref="E3657:E3663" si="1126">IFERROR(VLOOKUP(C3657,T_Insumos,3,FALSE),0)</f>
        <v>0</v>
      </c>
      <c r="F3657" s="475">
        <f>IF(C3657="",0,IFERROR(VLOOKUP(COUNTIF($A$1:A3657,"ANALISIS DE PRECIOS"),T_Rendimiento_Equipo,5,FALSE),0))</f>
        <v>0</v>
      </c>
      <c r="G3657" s="472">
        <f>IFERROR(ROUND(D3657*E3657/F3657,2),0)</f>
        <v>0</v>
      </c>
    </row>
    <row r="3658" spans="1:7" ht="19.899999999999999" customHeight="1">
      <c r="A3658" s="515">
        <f t="shared" si="1124"/>
        <v>0</v>
      </c>
      <c r="B3658" s="478">
        <f t="shared" si="1125"/>
        <v>0</v>
      </c>
      <c r="C3658" s="469"/>
      <c r="D3658" s="475"/>
      <c r="E3658" s="472">
        <f t="shared" si="1126"/>
        <v>0</v>
      </c>
      <c r="F3658" s="475">
        <f>IF(C3658="",0,IFERROR(VLOOKUP(COUNTIF($A$1:A3658,"ANALISIS DE PRECIOS"),T_Rendimiento_Equipo,5,FALSE),0))</f>
        <v>0</v>
      </c>
      <c r="G3658" s="472">
        <f t="shared" ref="G3658:G3663" si="1127">IFERROR(ROUND(D3658*E3658/F3658,2),0)</f>
        <v>0</v>
      </c>
    </row>
    <row r="3659" spans="1:7" ht="19.899999999999999" customHeight="1">
      <c r="A3659" s="515">
        <f t="shared" si="1124"/>
        <v>0</v>
      </c>
      <c r="B3659" s="478">
        <f t="shared" si="1125"/>
        <v>0</v>
      </c>
      <c r="C3659" s="469"/>
      <c r="D3659" s="475"/>
      <c r="E3659" s="472">
        <f t="shared" si="1126"/>
        <v>0</v>
      </c>
      <c r="F3659" s="475">
        <f>IF(C3659="",0,IFERROR(VLOOKUP(COUNTIF($A$1:A3659,"ANALISIS DE PRECIOS"),T_Rendimiento_Equipo,5,FALSE),0))</f>
        <v>0</v>
      </c>
      <c r="G3659" s="472">
        <f t="shared" si="1127"/>
        <v>0</v>
      </c>
    </row>
    <row r="3660" spans="1:7" ht="19.899999999999999" customHeight="1">
      <c r="A3660" s="515">
        <f t="shared" si="1124"/>
        <v>0</v>
      </c>
      <c r="B3660" s="478">
        <f t="shared" si="1125"/>
        <v>0</v>
      </c>
      <c r="C3660" s="469"/>
      <c r="D3660" s="475"/>
      <c r="E3660" s="472">
        <f t="shared" si="1126"/>
        <v>0</v>
      </c>
      <c r="F3660" s="475">
        <f>IF(C3660="",0,IFERROR(VLOOKUP(COUNTIF($A$1:A3660,"ANALISIS DE PRECIOS"),T_Rendimiento_Equipo,5,FALSE),0))</f>
        <v>0</v>
      </c>
      <c r="G3660" s="472">
        <f t="shared" si="1127"/>
        <v>0</v>
      </c>
    </row>
    <row r="3661" spans="1:7" ht="19.899999999999999" customHeight="1">
      <c r="A3661" s="515">
        <f t="shared" si="1124"/>
        <v>0</v>
      </c>
      <c r="B3661" s="478">
        <f t="shared" si="1125"/>
        <v>0</v>
      </c>
      <c r="C3661" s="469"/>
      <c r="D3661" s="475"/>
      <c r="E3661" s="472">
        <f t="shared" si="1126"/>
        <v>0</v>
      </c>
      <c r="F3661" s="475">
        <f>IF(C3661="",0,IFERROR(VLOOKUP(COUNTIF($A$1:A3661,"ANALISIS DE PRECIOS"),T_Rendimiento_Equipo,5,FALSE),0))</f>
        <v>0</v>
      </c>
      <c r="G3661" s="472">
        <f t="shared" si="1127"/>
        <v>0</v>
      </c>
    </row>
    <row r="3662" spans="1:7" ht="19.899999999999999" customHeight="1">
      <c r="A3662" s="515">
        <f t="shared" si="1124"/>
        <v>0</v>
      </c>
      <c r="B3662" s="478">
        <f t="shared" si="1125"/>
        <v>0</v>
      </c>
      <c r="C3662" s="469"/>
      <c r="D3662" s="483"/>
      <c r="E3662" s="472">
        <f t="shared" si="1126"/>
        <v>0</v>
      </c>
      <c r="F3662" s="475">
        <f>IF(C3662="",0,IFERROR(VLOOKUP(COUNTIF($A$1:A3662,"ANALISIS DE PRECIOS"),T_Rendimiento_Equipo,5,FALSE),0))</f>
        <v>0</v>
      </c>
      <c r="G3662" s="472">
        <f t="shared" si="1127"/>
        <v>0</v>
      </c>
    </row>
    <row r="3663" spans="1:7" ht="19.899999999999999" customHeight="1">
      <c r="A3663" s="515">
        <f t="shared" si="1124"/>
        <v>0</v>
      </c>
      <c r="B3663" s="478">
        <f t="shared" si="1125"/>
        <v>0</v>
      </c>
      <c r="C3663" s="478"/>
      <c r="D3663" s="484"/>
      <c r="E3663" s="472">
        <f t="shared" si="1126"/>
        <v>0</v>
      </c>
      <c r="F3663" s="475">
        <f>IF(C3663="",0,IFERROR(VLOOKUP(COUNTIF($A$1:A3663,"ANALISIS DE PRECIOS"),T_Rendimiento_Equipo,5,FALSE),0))</f>
        <v>0</v>
      </c>
      <c r="G3663" s="472">
        <f t="shared" si="1127"/>
        <v>0</v>
      </c>
    </row>
    <row r="3664" spans="1:7" ht="19.899999999999999" customHeight="1">
      <c r="A3664" s="516"/>
      <c r="B3664" s="459"/>
      <c r="C3664" s="163"/>
      <c r="D3664" s="459"/>
      <c r="E3664" s="460"/>
      <c r="F3664" s="650" t="s">
        <v>27</v>
      </c>
      <c r="G3664" s="518">
        <f>SUBTOTAL(9,G3657:G3663)</f>
        <v>0</v>
      </c>
    </row>
    <row r="3665" spans="1:7" ht="19.899999999999999" customHeight="1">
      <c r="A3665" s="513"/>
      <c r="B3665" s="163"/>
      <c r="C3665" s="455" t="s">
        <v>1013</v>
      </c>
      <c r="D3665" s="459"/>
      <c r="E3665" s="460"/>
      <c r="F3665" s="461"/>
      <c r="G3665" s="514"/>
    </row>
    <row r="3666" spans="1:7" ht="19.899999999999999" customHeight="1">
      <c r="A3666" s="677" t="s">
        <v>575</v>
      </c>
      <c r="B3666" s="678"/>
      <c r="C3666" s="679" t="s">
        <v>0</v>
      </c>
      <c r="D3666" s="679" t="s">
        <v>1865</v>
      </c>
      <c r="E3666" s="681" t="s">
        <v>23</v>
      </c>
      <c r="F3666" s="683" t="s">
        <v>24</v>
      </c>
      <c r="G3666" s="685" t="s">
        <v>25</v>
      </c>
    </row>
    <row r="3667" spans="1:7" ht="19.899999999999999" customHeight="1">
      <c r="A3667" s="477" t="s">
        <v>576</v>
      </c>
      <c r="B3667" s="477" t="s">
        <v>577</v>
      </c>
      <c r="C3667" s="680"/>
      <c r="D3667" s="680"/>
      <c r="E3667" s="682"/>
      <c r="F3667" s="684"/>
      <c r="G3667" s="686"/>
    </row>
    <row r="3668" spans="1:7" ht="19.899999999999999" customHeight="1">
      <c r="A3668" s="515">
        <f t="shared" ref="A3668:A3678" si="1128">IFERROR(VLOOKUP(C3668,T_Insumos,4,FALSE),0)</f>
        <v>0</v>
      </c>
      <c r="B3668" s="478">
        <f t="shared" ref="B3668:B3678" si="1129">IFERROR(VLOOKUP(C3668,T_Insumos,5,FALSE),0)</f>
        <v>0</v>
      </c>
      <c r="C3668" s="478"/>
      <c r="D3668" s="526">
        <f t="shared" ref="D3668:D3678" si="1130">IFERROR(VLOOKUP(C3668,T_Insumos,2,FALSE),0)</f>
        <v>0</v>
      </c>
      <c r="E3668" s="470"/>
      <c r="F3668" s="472">
        <f t="shared" ref="F3668:F3678" si="1131">IFERROR(VLOOKUP(C3668,T_Insumos,3,FALSE),0)</f>
        <v>0</v>
      </c>
      <c r="G3668" s="472">
        <f>ROUND(E3668*F3668,2)</f>
        <v>0</v>
      </c>
    </row>
    <row r="3669" spans="1:7" ht="19.899999999999999" customHeight="1">
      <c r="A3669" s="515">
        <f t="shared" si="1128"/>
        <v>0</v>
      </c>
      <c r="B3669" s="478">
        <f t="shared" si="1129"/>
        <v>0</v>
      </c>
      <c r="C3669" s="478"/>
      <c r="D3669" s="526">
        <f t="shared" si="1130"/>
        <v>0</v>
      </c>
      <c r="E3669" s="470"/>
      <c r="F3669" s="472">
        <f t="shared" si="1131"/>
        <v>0</v>
      </c>
      <c r="G3669" s="472">
        <f t="shared" ref="G3669:G3678" si="1132">ROUND(E3669*F3669,2)</f>
        <v>0</v>
      </c>
    </row>
    <row r="3670" spans="1:7" ht="19.899999999999999" customHeight="1">
      <c r="A3670" s="515">
        <f t="shared" si="1128"/>
        <v>0</v>
      </c>
      <c r="B3670" s="478">
        <f t="shared" si="1129"/>
        <v>0</v>
      </c>
      <c r="C3670" s="478"/>
      <c r="D3670" s="526">
        <f t="shared" si="1130"/>
        <v>0</v>
      </c>
      <c r="E3670" s="470"/>
      <c r="F3670" s="472">
        <f t="shared" si="1131"/>
        <v>0</v>
      </c>
      <c r="G3670" s="472">
        <f t="shared" si="1132"/>
        <v>0</v>
      </c>
    </row>
    <row r="3671" spans="1:7" ht="19.899999999999999" customHeight="1">
      <c r="A3671" s="515">
        <f t="shared" si="1128"/>
        <v>0</v>
      </c>
      <c r="B3671" s="478">
        <f t="shared" si="1129"/>
        <v>0</v>
      </c>
      <c r="C3671" s="478"/>
      <c r="D3671" s="526">
        <f t="shared" si="1130"/>
        <v>0</v>
      </c>
      <c r="E3671" s="470"/>
      <c r="F3671" s="472">
        <f t="shared" si="1131"/>
        <v>0</v>
      </c>
      <c r="G3671" s="472">
        <f t="shared" si="1132"/>
        <v>0</v>
      </c>
    </row>
    <row r="3672" spans="1:7" ht="19.899999999999999" customHeight="1">
      <c r="A3672" s="515">
        <f t="shared" si="1128"/>
        <v>0</v>
      </c>
      <c r="B3672" s="478">
        <f t="shared" si="1129"/>
        <v>0</v>
      </c>
      <c r="C3672" s="478"/>
      <c r="D3672" s="526">
        <f t="shared" si="1130"/>
        <v>0</v>
      </c>
      <c r="E3672" s="470"/>
      <c r="F3672" s="472">
        <f t="shared" si="1131"/>
        <v>0</v>
      </c>
      <c r="G3672" s="472">
        <f t="shared" si="1132"/>
        <v>0</v>
      </c>
    </row>
    <row r="3673" spans="1:7" ht="19.899999999999999" customHeight="1">
      <c r="A3673" s="515">
        <f t="shared" si="1128"/>
        <v>0</v>
      </c>
      <c r="B3673" s="478">
        <f t="shared" si="1129"/>
        <v>0</v>
      </c>
      <c r="C3673" s="478"/>
      <c r="D3673" s="526">
        <f t="shared" si="1130"/>
        <v>0</v>
      </c>
      <c r="E3673" s="470"/>
      <c r="F3673" s="472">
        <f t="shared" si="1131"/>
        <v>0</v>
      </c>
      <c r="G3673" s="472">
        <f t="shared" si="1132"/>
        <v>0</v>
      </c>
    </row>
    <row r="3674" spans="1:7" ht="19.899999999999999" customHeight="1">
      <c r="A3674" s="515">
        <f t="shared" si="1128"/>
        <v>0</v>
      </c>
      <c r="B3674" s="478">
        <f t="shared" si="1129"/>
        <v>0</v>
      </c>
      <c r="C3674" s="478"/>
      <c r="D3674" s="526">
        <f t="shared" si="1130"/>
        <v>0</v>
      </c>
      <c r="E3674" s="470"/>
      <c r="F3674" s="472">
        <f t="shared" si="1131"/>
        <v>0</v>
      </c>
      <c r="G3674" s="472">
        <f t="shared" si="1132"/>
        <v>0</v>
      </c>
    </row>
    <row r="3675" spans="1:7" ht="19.899999999999999" customHeight="1">
      <c r="A3675" s="515">
        <f t="shared" si="1128"/>
        <v>0</v>
      </c>
      <c r="B3675" s="478">
        <f t="shared" si="1129"/>
        <v>0</v>
      </c>
      <c r="C3675" s="478"/>
      <c r="D3675" s="526">
        <f t="shared" si="1130"/>
        <v>0</v>
      </c>
      <c r="E3675" s="470"/>
      <c r="F3675" s="472">
        <f t="shared" si="1131"/>
        <v>0</v>
      </c>
      <c r="G3675" s="472">
        <f t="shared" si="1132"/>
        <v>0</v>
      </c>
    </row>
    <row r="3676" spans="1:7" ht="19.899999999999999" customHeight="1">
      <c r="A3676" s="515">
        <f t="shared" si="1128"/>
        <v>0</v>
      </c>
      <c r="B3676" s="478">
        <f t="shared" si="1129"/>
        <v>0</v>
      </c>
      <c r="C3676" s="478"/>
      <c r="D3676" s="526">
        <f t="shared" si="1130"/>
        <v>0</v>
      </c>
      <c r="E3676" s="470"/>
      <c r="F3676" s="472">
        <f t="shared" si="1131"/>
        <v>0</v>
      </c>
      <c r="G3676" s="472">
        <f t="shared" si="1132"/>
        <v>0</v>
      </c>
    </row>
    <row r="3677" spans="1:7" ht="19.899999999999999" customHeight="1">
      <c r="A3677" s="515">
        <f t="shared" si="1128"/>
        <v>0</v>
      </c>
      <c r="B3677" s="478">
        <f t="shared" si="1129"/>
        <v>0</v>
      </c>
      <c r="C3677" s="478"/>
      <c r="D3677" s="526">
        <f t="shared" si="1130"/>
        <v>0</v>
      </c>
      <c r="E3677" s="470"/>
      <c r="F3677" s="472">
        <f t="shared" si="1131"/>
        <v>0</v>
      </c>
      <c r="G3677" s="472">
        <f t="shared" si="1132"/>
        <v>0</v>
      </c>
    </row>
    <row r="3678" spans="1:7" ht="19.899999999999999" customHeight="1">
      <c r="A3678" s="515">
        <f t="shared" si="1128"/>
        <v>0</v>
      </c>
      <c r="B3678" s="478">
        <f t="shared" si="1129"/>
        <v>0</v>
      </c>
      <c r="C3678" s="478"/>
      <c r="D3678" s="526">
        <f t="shared" si="1130"/>
        <v>0</v>
      </c>
      <c r="E3678" s="470"/>
      <c r="F3678" s="472">
        <f t="shared" si="1131"/>
        <v>0</v>
      </c>
      <c r="G3678" s="472">
        <f t="shared" si="1132"/>
        <v>0</v>
      </c>
    </row>
    <row r="3679" spans="1:7" ht="19.899999999999999" customHeight="1">
      <c r="A3679" s="513"/>
      <c r="B3679" s="163"/>
      <c r="C3679" s="163"/>
      <c r="D3679" s="459"/>
      <c r="E3679" s="460"/>
      <c r="F3679" s="650" t="s">
        <v>28</v>
      </c>
      <c r="G3679" s="518">
        <f>SUBTOTAL(9,G3668:G3678)</f>
        <v>0</v>
      </c>
    </row>
    <row r="3680" spans="1:7" ht="19.899999999999999" customHeight="1">
      <c r="A3680" s="513"/>
      <c r="B3680" s="163"/>
      <c r="C3680" s="455" t="s">
        <v>1014</v>
      </c>
      <c r="D3680" s="459"/>
      <c r="E3680" s="460"/>
      <c r="F3680" s="461"/>
      <c r="G3680" s="514"/>
    </row>
    <row r="3681" spans="1:7" ht="19.899999999999999" customHeight="1">
      <c r="A3681" s="677" t="s">
        <v>575</v>
      </c>
      <c r="B3681" s="678"/>
      <c r="C3681" s="679" t="s">
        <v>0</v>
      </c>
      <c r="D3681" s="679" t="s">
        <v>1865</v>
      </c>
      <c r="E3681" s="681" t="s">
        <v>23</v>
      </c>
      <c r="F3681" s="683" t="s">
        <v>24</v>
      </c>
      <c r="G3681" s="685" t="s">
        <v>25</v>
      </c>
    </row>
    <row r="3682" spans="1:7" ht="19.899999999999999" customHeight="1">
      <c r="A3682" s="477" t="s">
        <v>576</v>
      </c>
      <c r="B3682" s="477" t="s">
        <v>577</v>
      </c>
      <c r="C3682" s="680"/>
      <c r="D3682" s="680"/>
      <c r="E3682" s="682"/>
      <c r="F3682" s="684"/>
      <c r="G3682" s="686"/>
    </row>
    <row r="3683" spans="1:7" ht="19.899999999999999" customHeight="1">
      <c r="A3683" s="515">
        <f>IFERROR(VLOOKUP(C3683,T_Insumos,4,FALSE),0)</f>
        <v>0</v>
      </c>
      <c r="B3683" s="478">
        <f>IFERROR(VLOOKUP(C3683,T_Insumos,5,FALSE),0)</f>
        <v>0</v>
      </c>
      <c r="C3683" s="469"/>
      <c r="D3683" s="526">
        <f>IF(C3683=0,0,"$/tnkm")</f>
        <v>0</v>
      </c>
      <c r="E3683" s="470"/>
      <c r="F3683" s="472">
        <f>IFERROR(VLOOKUP(C3683,T_Insumos,3,FALSE),0)</f>
        <v>0</v>
      </c>
      <c r="G3683" s="472">
        <f>ROUND(E3683*F3683,2)</f>
        <v>0</v>
      </c>
    </row>
    <row r="3684" spans="1:7" ht="19.899999999999999" customHeight="1">
      <c r="A3684" s="515">
        <f>IFERROR(VLOOKUP(C3684,T_Insumos,4,FALSE),0)</f>
        <v>0</v>
      </c>
      <c r="B3684" s="478">
        <f>IFERROR(VLOOKUP(C3684,T_Insumos,5,FALSE),0)</f>
        <v>0</v>
      </c>
      <c r="C3684" s="469"/>
      <c r="D3684" s="526">
        <f>IF(C3684=0,0,"$/tnkm")</f>
        <v>0</v>
      </c>
      <c r="E3684" s="486"/>
      <c r="F3684" s="472">
        <f>IFERROR(VLOOKUP(C3684,T_Insumos,3,FALSE),0)</f>
        <v>0</v>
      </c>
      <c r="G3684" s="472">
        <f t="shared" ref="G3684" si="1133">ROUND(E3684*F3684,2)</f>
        <v>0</v>
      </c>
    </row>
    <row r="3685" spans="1:7" ht="19.899999999999999" customHeight="1">
      <c r="A3685" s="513"/>
      <c r="B3685" s="163"/>
      <c r="C3685" s="163"/>
      <c r="D3685" s="459"/>
      <c r="E3685" s="460"/>
      <c r="F3685" s="650" t="s">
        <v>1015</v>
      </c>
      <c r="G3685" s="518">
        <f>SUBTOTAL(9,G3683:G3684)</f>
        <v>0</v>
      </c>
    </row>
    <row r="3686" spans="1:7" ht="19.899999999999999" customHeight="1">
      <c r="A3686" s="516"/>
      <c r="B3686" s="459"/>
      <c r="C3686" s="163"/>
      <c r="D3686" s="459"/>
      <c r="E3686" s="460"/>
      <c r="F3686" s="461"/>
      <c r="G3686" s="514"/>
    </row>
    <row r="3687" spans="1:7" ht="19.899999999999999" customHeight="1">
      <c r="A3687" s="574" t="str">
        <f>B3621</f>
        <v>6.2.10</v>
      </c>
      <c r="B3687" s="571" t="str">
        <f ca="1">C3621</f>
        <v>Proteccion convertidor de óxido</v>
      </c>
      <c r="C3687" s="459"/>
      <c r="D3687" s="459" t="s">
        <v>1831</v>
      </c>
      <c r="E3687" s="572"/>
      <c r="F3687" s="573" t="str">
        <f ca="1">"$/"&amp;G3621</f>
        <v>$/litros</v>
      </c>
      <c r="G3687" s="523">
        <f>SUBTOTAL(9,G3644:G3686)</f>
        <v>0</v>
      </c>
    </row>
    <row r="3688" spans="1:7" ht="19.899999999999999" customHeight="1">
      <c r="A3688" s="519"/>
      <c r="B3688" s="520"/>
      <c r="C3688" s="521"/>
      <c r="D3688" s="521" t="s">
        <v>2041</v>
      </c>
      <c r="E3688" s="522"/>
      <c r="F3688" s="575" t="str">
        <f ca="1">"$/"&amp;G3621</f>
        <v>$/litros</v>
      </c>
      <c r="G3688" s="523">
        <f>ROUND(G3687*Coeficiente_Paso,2)</f>
        <v>0</v>
      </c>
    </row>
    <row r="3689" spans="1:7" ht="19.899999999999999" customHeight="1">
      <c r="A3689" s="163"/>
      <c r="B3689" s="163"/>
      <c r="C3689" s="163"/>
      <c r="D3689" s="163"/>
      <c r="E3689" s="163"/>
      <c r="F3689" s="163"/>
      <c r="G3689" s="163"/>
    </row>
    <row r="3690" spans="1:7" ht="19.899999999999999" customHeight="1">
      <c r="A3690" s="687" t="s">
        <v>30</v>
      </c>
      <c r="B3690" s="688"/>
      <c r="C3690" s="688"/>
      <c r="D3690" s="688"/>
      <c r="E3690" s="688"/>
      <c r="F3690" s="688"/>
      <c r="G3690" s="689"/>
    </row>
    <row r="3691" spans="1:7" ht="19.899999999999999" customHeight="1">
      <c r="A3691" s="502" t="s">
        <v>710</v>
      </c>
      <c r="B3691" s="453" t="str">
        <f>Comitente</f>
        <v>DEPARTAMENTO DE HIDRAULICA</v>
      </c>
      <c r="C3691" s="454"/>
      <c r="D3691" s="455"/>
      <c r="E3691" s="455"/>
      <c r="F3691" s="456"/>
      <c r="G3691" s="503"/>
    </row>
    <row r="3692" spans="1:7" ht="19.899999999999999" customHeight="1">
      <c r="A3692" s="502" t="s">
        <v>711</v>
      </c>
      <c r="B3692" s="453">
        <f>Contratista</f>
        <v>0</v>
      </c>
      <c r="C3692" s="457"/>
      <c r="D3692" s="457"/>
      <c r="E3692" s="457"/>
      <c r="F3692" s="453"/>
      <c r="G3692" s="504"/>
    </row>
    <row r="3693" spans="1:7" ht="19.899999999999999" customHeight="1">
      <c r="A3693" s="502" t="s">
        <v>20</v>
      </c>
      <c r="B3693" s="453" t="str">
        <f>Obra</f>
        <v>MEJORA DE LA RED DE RIEGO DEL VALLE DE JÁCHAL</v>
      </c>
      <c r="C3693" s="457"/>
      <c r="D3693" s="457"/>
      <c r="E3693" s="457"/>
      <c r="F3693" s="453" t="s">
        <v>31</v>
      </c>
      <c r="G3693" s="504" t="str">
        <f>Fecha_Base</f>
        <v>XX/07/2020</v>
      </c>
    </row>
    <row r="3694" spans="1:7" ht="19.899999999999999" customHeight="1">
      <c r="A3694" s="505" t="s">
        <v>709</v>
      </c>
      <c r="B3694" s="458" t="str">
        <f>Ubicación</f>
        <v>JACHAL</v>
      </c>
      <c r="C3694" s="458"/>
      <c r="D3694" s="459"/>
      <c r="E3694" s="460"/>
      <c r="F3694" s="461"/>
      <c r="G3694" s="506"/>
    </row>
    <row r="3695" spans="1:7" ht="19.899999999999999" customHeight="1">
      <c r="A3695" s="505" t="s">
        <v>32</v>
      </c>
      <c r="B3695" s="462">
        <f>IFERROR(VALUE(LEFT(B3696,FIND(".",B3696)-1)),"")</f>
        <v>6</v>
      </c>
      <c r="C3695" s="163" t="str">
        <f ca="1">IFERROR(VLOOKUP(B3695,T_Computo_Presupuesto,2,FALSE),0)</f>
        <v>CANAL DEL NORTE</v>
      </c>
      <c r="D3695" s="163"/>
      <c r="E3695" s="460"/>
      <c r="F3695" s="461"/>
      <c r="G3695" s="506"/>
    </row>
    <row r="3696" spans="1:7" ht="19.899999999999999" customHeight="1">
      <c r="A3696" s="505" t="s">
        <v>21</v>
      </c>
      <c r="B3696" s="463" t="str">
        <f>IFERROR(VLOOKUP(COUNTIF($A$1:A3696,"ANALISIS DE PRECIOS"),T_NumeroItem,2,FALSE),"")</f>
        <v>6.2.11</v>
      </c>
      <c r="C3696" s="690" t="str">
        <f ca="1">IFERROR(VLOOKUP(B3696,T_Computo_Presupuesto,2,FALSE),0)</f>
        <v>Puente de adherencia entre hormigones</v>
      </c>
      <c r="D3696" s="690"/>
      <c r="E3696" s="690"/>
      <c r="F3696" s="458" t="s">
        <v>22</v>
      </c>
      <c r="G3696" s="507" t="str">
        <f ca="1">IFERROR(VLOOKUP(B3696,T_Computo_Presupuesto,4,FALSE),0)</f>
        <v>kg</v>
      </c>
    </row>
    <row r="3697" spans="1:7" ht="19.899999999999999" customHeight="1">
      <c r="A3697" s="505"/>
      <c r="B3697" s="458"/>
      <c r="C3697" s="163"/>
      <c r="D3697" s="459"/>
      <c r="E3697" s="460"/>
      <c r="F3697" s="163"/>
      <c r="G3697" s="508"/>
    </row>
    <row r="3698" spans="1:7" ht="19.899999999999999" customHeight="1">
      <c r="A3698" s="509"/>
      <c r="B3698" s="464"/>
      <c r="C3698" s="465" t="s">
        <v>998</v>
      </c>
      <c r="D3698" s="464"/>
      <c r="E3698" s="464"/>
      <c r="F3698" s="464"/>
      <c r="G3698" s="510"/>
    </row>
    <row r="3699" spans="1:7" ht="19.899999999999999" customHeight="1">
      <c r="A3699" s="505"/>
      <c r="B3699" s="466"/>
      <c r="C3699" s="163"/>
      <c r="D3699" s="459"/>
      <c r="E3699" s="460"/>
      <c r="F3699" s="458"/>
      <c r="G3699" s="507"/>
    </row>
    <row r="3700" spans="1:7" ht="19.899999999999999" customHeight="1">
      <c r="A3700" s="505"/>
      <c r="B3700" s="466"/>
      <c r="C3700" s="467" t="s">
        <v>999</v>
      </c>
      <c r="D3700" s="468" t="s">
        <v>23</v>
      </c>
      <c r="E3700" s="468" t="s">
        <v>1000</v>
      </c>
      <c r="F3700" s="468" t="s">
        <v>1001</v>
      </c>
      <c r="G3700" s="467" t="s">
        <v>1002</v>
      </c>
    </row>
    <row r="3701" spans="1:7" ht="19.899999999999999" customHeight="1">
      <c r="A3701" s="505"/>
      <c r="B3701" s="466"/>
      <c r="C3701" s="469"/>
      <c r="D3701" s="470"/>
      <c r="E3701" s="471">
        <f t="shared" ref="E3701:E3710" si="1134">IFERROR(VLOOKUP(C3701,T_Equipos,4,FALSE),0)</f>
        <v>0</v>
      </c>
      <c r="F3701" s="472">
        <f t="shared" ref="F3701:F3710" si="1135">IFERROR(VLOOKUP(C3701,T_Equipos,5,FALSE),0)</f>
        <v>0</v>
      </c>
      <c r="G3701" s="472">
        <f>ROUND(D3701*F3701,2)</f>
        <v>0</v>
      </c>
    </row>
    <row r="3702" spans="1:7" ht="19.899999999999999" customHeight="1">
      <c r="A3702" s="505"/>
      <c r="B3702" s="466"/>
      <c r="C3702" s="469"/>
      <c r="D3702" s="470"/>
      <c r="E3702" s="471">
        <f t="shared" si="1134"/>
        <v>0</v>
      </c>
      <c r="F3702" s="472">
        <f t="shared" si="1135"/>
        <v>0</v>
      </c>
      <c r="G3702" s="472">
        <f>ROUND(D3702*F3702,2)</f>
        <v>0</v>
      </c>
    </row>
    <row r="3703" spans="1:7" ht="19.899999999999999" customHeight="1">
      <c r="A3703" s="505"/>
      <c r="B3703" s="466"/>
      <c r="C3703" s="469"/>
      <c r="D3703" s="470"/>
      <c r="E3703" s="471">
        <f t="shared" si="1134"/>
        <v>0</v>
      </c>
      <c r="F3703" s="472">
        <f t="shared" si="1135"/>
        <v>0</v>
      </c>
      <c r="G3703" s="472">
        <f>ROUND(D3703*F3703,2)</f>
        <v>0</v>
      </c>
    </row>
    <row r="3704" spans="1:7" ht="19.899999999999999" customHeight="1">
      <c r="A3704" s="505"/>
      <c r="B3704" s="466"/>
      <c r="C3704" s="469"/>
      <c r="D3704" s="470"/>
      <c r="E3704" s="471">
        <f t="shared" si="1134"/>
        <v>0</v>
      </c>
      <c r="F3704" s="472">
        <f t="shared" si="1135"/>
        <v>0</v>
      </c>
      <c r="G3704" s="472">
        <f>ROUND(D3704*F3704,2)</f>
        <v>0</v>
      </c>
    </row>
    <row r="3705" spans="1:7" ht="19.899999999999999" customHeight="1">
      <c r="A3705" s="505"/>
      <c r="B3705" s="466"/>
      <c r="C3705" s="469"/>
      <c r="D3705" s="470"/>
      <c r="E3705" s="471">
        <f t="shared" si="1134"/>
        <v>0</v>
      </c>
      <c r="F3705" s="472">
        <f t="shared" si="1135"/>
        <v>0</v>
      </c>
      <c r="G3705" s="472">
        <f t="shared" ref="G3705:G3710" si="1136">ROUND(D3705*F3705,2)</f>
        <v>0</v>
      </c>
    </row>
    <row r="3706" spans="1:7" ht="19.899999999999999" customHeight="1">
      <c r="A3706" s="505"/>
      <c r="B3706" s="466"/>
      <c r="C3706" s="469"/>
      <c r="D3706" s="470"/>
      <c r="E3706" s="471">
        <f t="shared" si="1134"/>
        <v>0</v>
      </c>
      <c r="F3706" s="472">
        <f t="shared" si="1135"/>
        <v>0</v>
      </c>
      <c r="G3706" s="472">
        <f t="shared" si="1136"/>
        <v>0</v>
      </c>
    </row>
    <row r="3707" spans="1:7" ht="19.899999999999999" customHeight="1">
      <c r="A3707" s="505"/>
      <c r="B3707" s="466"/>
      <c r="C3707" s="469"/>
      <c r="D3707" s="470"/>
      <c r="E3707" s="471">
        <f t="shared" si="1134"/>
        <v>0</v>
      </c>
      <c r="F3707" s="472">
        <f t="shared" si="1135"/>
        <v>0</v>
      </c>
      <c r="G3707" s="472">
        <f t="shared" si="1136"/>
        <v>0</v>
      </c>
    </row>
    <row r="3708" spans="1:7" ht="19.899999999999999" customHeight="1">
      <c r="A3708" s="505"/>
      <c r="B3708" s="466"/>
      <c r="C3708" s="469"/>
      <c r="D3708" s="470"/>
      <c r="E3708" s="471">
        <f t="shared" si="1134"/>
        <v>0</v>
      </c>
      <c r="F3708" s="472">
        <f t="shared" si="1135"/>
        <v>0</v>
      </c>
      <c r="G3708" s="472">
        <f t="shared" si="1136"/>
        <v>0</v>
      </c>
    </row>
    <row r="3709" spans="1:7" ht="19.899999999999999" customHeight="1">
      <c r="A3709" s="505"/>
      <c r="B3709" s="466"/>
      <c r="C3709" s="469"/>
      <c r="D3709" s="470"/>
      <c r="E3709" s="471">
        <f t="shared" si="1134"/>
        <v>0</v>
      </c>
      <c r="F3709" s="472">
        <f t="shared" si="1135"/>
        <v>0</v>
      </c>
      <c r="G3709" s="472">
        <f t="shared" si="1136"/>
        <v>0</v>
      </c>
    </row>
    <row r="3710" spans="1:7" ht="19.899999999999999" customHeight="1">
      <c r="A3710" s="505"/>
      <c r="B3710" s="466"/>
      <c r="C3710" s="469"/>
      <c r="D3710" s="470"/>
      <c r="E3710" s="471">
        <f t="shared" si="1134"/>
        <v>0</v>
      </c>
      <c r="F3710" s="472">
        <f t="shared" si="1135"/>
        <v>0</v>
      </c>
      <c r="G3710" s="472">
        <f t="shared" si="1136"/>
        <v>0</v>
      </c>
    </row>
    <row r="3711" spans="1:7" ht="19.899999999999999" customHeight="1">
      <c r="A3711" s="505"/>
      <c r="B3711" s="466"/>
      <c r="C3711" s="163"/>
      <c r="D3711" s="163"/>
      <c r="E3711" s="473"/>
      <c r="F3711" s="458"/>
      <c r="G3711" s="507"/>
    </row>
    <row r="3712" spans="1:7" ht="19.899999999999999" customHeight="1">
      <c r="A3712" s="505"/>
      <c r="B3712" s="163"/>
      <c r="C3712" s="455" t="s">
        <v>1003</v>
      </c>
      <c r="D3712" s="458" t="s">
        <v>1000</v>
      </c>
      <c r="E3712" s="524">
        <f>SUMPRODUCT(D3701:D3710,E3701:E3710)</f>
        <v>0</v>
      </c>
      <c r="F3712" s="458" t="s">
        <v>1004</v>
      </c>
      <c r="G3712" s="525">
        <f>SUM(G3701:G3710)</f>
        <v>0</v>
      </c>
    </row>
    <row r="3713" spans="1:7" ht="19.899999999999999" customHeight="1">
      <c r="A3713" s="505"/>
      <c r="B3713" s="466"/>
      <c r="C3713" s="474"/>
      <c r="D3713" s="473"/>
      <c r="E3713" s="460"/>
      <c r="F3713" s="458"/>
      <c r="G3713" s="511"/>
    </row>
    <row r="3714" spans="1:7" ht="19.899999999999999" customHeight="1">
      <c r="A3714" s="512"/>
      <c r="B3714" s="466"/>
      <c r="C3714" s="458" t="s">
        <v>1005</v>
      </c>
      <c r="D3714" s="475"/>
      <c r="E3714" s="476" t="str">
        <f ca="1">G3696&amp;"/día"</f>
        <v>kg/día</v>
      </c>
      <c r="F3714" s="452"/>
      <c r="G3714" s="507"/>
    </row>
    <row r="3715" spans="1:7" ht="19.899999999999999" customHeight="1">
      <c r="A3715" s="505"/>
      <c r="B3715" s="466"/>
      <c r="C3715" s="163"/>
      <c r="D3715" s="459"/>
      <c r="E3715" s="460"/>
      <c r="F3715" s="458"/>
      <c r="G3715" s="507"/>
    </row>
    <row r="3716" spans="1:7" ht="19.899999999999999" customHeight="1">
      <c r="A3716" s="677" t="s">
        <v>575</v>
      </c>
      <c r="B3716" s="678"/>
      <c r="C3716" s="679" t="s">
        <v>0</v>
      </c>
      <c r="D3716" s="691" t="s">
        <v>1864</v>
      </c>
      <c r="E3716" s="691" t="s">
        <v>1863</v>
      </c>
      <c r="F3716" s="683" t="s">
        <v>1006</v>
      </c>
      <c r="G3716" s="685" t="s">
        <v>25</v>
      </c>
    </row>
    <row r="3717" spans="1:7" ht="19.899999999999999" customHeight="1">
      <c r="A3717" s="477" t="s">
        <v>576</v>
      </c>
      <c r="B3717" s="477" t="s">
        <v>577</v>
      </c>
      <c r="C3717" s="680"/>
      <c r="D3717" s="692"/>
      <c r="E3717" s="682"/>
      <c r="F3717" s="684"/>
      <c r="G3717" s="686"/>
    </row>
    <row r="3718" spans="1:7" ht="19.899999999999999" customHeight="1">
      <c r="A3718" s="513"/>
      <c r="B3718" s="163"/>
      <c r="C3718" s="455" t="s">
        <v>1007</v>
      </c>
      <c r="D3718" s="460"/>
      <c r="E3718" s="460"/>
      <c r="F3718" s="163"/>
      <c r="G3718" s="514"/>
    </row>
    <row r="3719" spans="1:7" ht="19.899999999999999" customHeight="1">
      <c r="A3719" s="515">
        <f t="shared" ref="A3719:A3727" si="1137">IFERROR(VLOOKUP(C3719,T_Insumos,4,FALSE),0)</f>
        <v>0</v>
      </c>
      <c r="B3719" s="478">
        <f t="shared" ref="B3719:B3727" si="1138">IFERROR(VLOOKUP(C3719,T_Insumos,5,FALSE),0)</f>
        <v>0</v>
      </c>
      <c r="C3719" s="469"/>
      <c r="D3719" s="479">
        <f t="shared" ref="D3719:D3727" si="1139">IFERROR(VLOOKUP(C3719,T_Insumos,3,FALSE),0)</f>
        <v>0</v>
      </c>
      <c r="E3719" s="472">
        <f>D3719*$G$23</f>
        <v>0</v>
      </c>
      <c r="F3719" s="475">
        <f>IF(C3719="",0,IFERROR(VLOOKUP(COUNTIF($A$1:A3719,"ANALISIS DE PRECIOS"),T_Rendimiento_Equipo,5,FALSE),0))</f>
        <v>0</v>
      </c>
      <c r="G3719" s="472">
        <f>IFERROR(ROUND(E3719/F3719,2),0)</f>
        <v>0</v>
      </c>
    </row>
    <row r="3720" spans="1:7" ht="19.899999999999999" customHeight="1">
      <c r="A3720" s="515">
        <f t="shared" si="1137"/>
        <v>0</v>
      </c>
      <c r="B3720" s="478">
        <f t="shared" si="1138"/>
        <v>0</v>
      </c>
      <c r="C3720" s="469"/>
      <c r="D3720" s="479">
        <f t="shared" si="1139"/>
        <v>0</v>
      </c>
      <c r="E3720" s="472">
        <f t="shared" ref="E3720:E3727" si="1140">D3720*$G$23</f>
        <v>0</v>
      </c>
      <c r="F3720" s="475">
        <f>IF(C3720="",0,IFERROR(VLOOKUP(COUNTIF($A$1:A3720,"ANALISIS DE PRECIOS"),T_Rendimiento_Equipo,5,FALSE),0))</f>
        <v>0</v>
      </c>
      <c r="G3720" s="472">
        <f t="shared" ref="G3720:G3727" si="1141">IFERROR(ROUND(E3720/F3720,2),0)</f>
        <v>0</v>
      </c>
    </row>
    <row r="3721" spans="1:7" ht="19.899999999999999" customHeight="1">
      <c r="A3721" s="515">
        <f t="shared" si="1137"/>
        <v>0</v>
      </c>
      <c r="B3721" s="478">
        <f t="shared" si="1138"/>
        <v>0</v>
      </c>
      <c r="C3721" s="480"/>
      <c r="D3721" s="479">
        <f t="shared" si="1139"/>
        <v>0</v>
      </c>
      <c r="E3721" s="472">
        <f t="shared" si="1140"/>
        <v>0</v>
      </c>
      <c r="F3721" s="475">
        <f>IF(C3721="",0,IFERROR(VLOOKUP(COUNTIF($A$1:A3721,"ANALISIS DE PRECIOS"),T_Rendimiento_Equipo,5,FALSE),0))</f>
        <v>0</v>
      </c>
      <c r="G3721" s="472">
        <f t="shared" si="1141"/>
        <v>0</v>
      </c>
    </row>
    <row r="3722" spans="1:7" ht="19.899999999999999" customHeight="1">
      <c r="A3722" s="515">
        <f t="shared" si="1137"/>
        <v>0</v>
      </c>
      <c r="B3722" s="478">
        <f t="shared" si="1138"/>
        <v>0</v>
      </c>
      <c r="C3722" s="480"/>
      <c r="D3722" s="479">
        <f t="shared" si="1139"/>
        <v>0</v>
      </c>
      <c r="E3722" s="472">
        <f t="shared" si="1140"/>
        <v>0</v>
      </c>
      <c r="F3722" s="475">
        <f>IF(C3722="",0,IFERROR(VLOOKUP(COUNTIF($A$1:A3722,"ANALISIS DE PRECIOS"),T_Rendimiento_Equipo,5,FALSE),0))</f>
        <v>0</v>
      </c>
      <c r="G3722" s="472">
        <f t="shared" si="1141"/>
        <v>0</v>
      </c>
    </row>
    <row r="3723" spans="1:7" ht="19.899999999999999" customHeight="1">
      <c r="A3723" s="515">
        <f t="shared" si="1137"/>
        <v>0</v>
      </c>
      <c r="B3723" s="478">
        <f t="shared" si="1138"/>
        <v>0</v>
      </c>
      <c r="C3723" s="480"/>
      <c r="D3723" s="479">
        <f t="shared" si="1139"/>
        <v>0</v>
      </c>
      <c r="E3723" s="472">
        <f t="shared" si="1140"/>
        <v>0</v>
      </c>
      <c r="F3723" s="475">
        <f>IF(C3723="",0,IFERROR(VLOOKUP(COUNTIF($A$1:A3723,"ANALISIS DE PRECIOS"),T_Rendimiento_Equipo,5,FALSE),0))</f>
        <v>0</v>
      </c>
      <c r="G3723" s="472">
        <f t="shared" si="1141"/>
        <v>0</v>
      </c>
    </row>
    <row r="3724" spans="1:7" ht="19.899999999999999" customHeight="1">
      <c r="A3724" s="515">
        <f t="shared" si="1137"/>
        <v>0</v>
      </c>
      <c r="B3724" s="478">
        <f t="shared" si="1138"/>
        <v>0</v>
      </c>
      <c r="C3724" s="480"/>
      <c r="D3724" s="479">
        <f t="shared" si="1139"/>
        <v>0</v>
      </c>
      <c r="E3724" s="472">
        <f t="shared" si="1140"/>
        <v>0</v>
      </c>
      <c r="F3724" s="475">
        <f>IF(C3724="",0,IFERROR(VLOOKUP(COUNTIF($A$1:A3724,"ANALISIS DE PRECIOS"),T_Rendimiento_Equipo,5,FALSE),0))</f>
        <v>0</v>
      </c>
      <c r="G3724" s="472">
        <f t="shared" si="1141"/>
        <v>0</v>
      </c>
    </row>
    <row r="3725" spans="1:7" ht="19.899999999999999" customHeight="1">
      <c r="A3725" s="515">
        <f t="shared" si="1137"/>
        <v>0</v>
      </c>
      <c r="B3725" s="478">
        <f t="shared" si="1138"/>
        <v>0</v>
      </c>
      <c r="C3725" s="480"/>
      <c r="D3725" s="479">
        <f t="shared" si="1139"/>
        <v>0</v>
      </c>
      <c r="E3725" s="472">
        <f t="shared" si="1140"/>
        <v>0</v>
      </c>
      <c r="F3725" s="475">
        <f>IF(C3725="",0,IFERROR(VLOOKUP(COUNTIF($A$1:A3725,"ANALISIS DE PRECIOS"),T_Rendimiento_Equipo,5,FALSE),0))</f>
        <v>0</v>
      </c>
      <c r="G3725" s="472">
        <f t="shared" si="1141"/>
        <v>0</v>
      </c>
    </row>
    <row r="3726" spans="1:7" ht="19.899999999999999" customHeight="1">
      <c r="A3726" s="515">
        <f t="shared" si="1137"/>
        <v>0</v>
      </c>
      <c r="B3726" s="478">
        <f t="shared" si="1138"/>
        <v>0</v>
      </c>
      <c r="C3726" s="480"/>
      <c r="D3726" s="479">
        <f t="shared" si="1139"/>
        <v>0</v>
      </c>
      <c r="E3726" s="472">
        <f t="shared" si="1140"/>
        <v>0</v>
      </c>
      <c r="F3726" s="475">
        <f>IF(C3726="",0,IFERROR(VLOOKUP(COUNTIF($A$1:A3726,"ANALISIS DE PRECIOS"),T_Rendimiento_Equipo,5,FALSE),0))</f>
        <v>0</v>
      </c>
      <c r="G3726" s="472">
        <f t="shared" si="1141"/>
        <v>0</v>
      </c>
    </row>
    <row r="3727" spans="1:7" ht="19.899999999999999" customHeight="1">
      <c r="A3727" s="515">
        <f t="shared" si="1137"/>
        <v>0</v>
      </c>
      <c r="B3727" s="478">
        <f t="shared" si="1138"/>
        <v>0</v>
      </c>
      <c r="C3727" s="469"/>
      <c r="D3727" s="479">
        <f t="shared" si="1139"/>
        <v>0</v>
      </c>
      <c r="E3727" s="472">
        <f t="shared" si="1140"/>
        <v>0</v>
      </c>
      <c r="F3727" s="475">
        <f>IF(C3727="",0,IFERROR(VLOOKUP(COUNTIF($A$1:A3727,"ANALISIS DE PRECIOS"),T_Rendimiento_Equipo,5,FALSE),0))</f>
        <v>0</v>
      </c>
      <c r="G3727" s="472">
        <f t="shared" si="1141"/>
        <v>0</v>
      </c>
    </row>
    <row r="3728" spans="1:7" ht="19.899999999999999" customHeight="1">
      <c r="A3728" s="516"/>
      <c r="B3728" s="459"/>
      <c r="C3728" s="163"/>
      <c r="D3728" s="459"/>
      <c r="E3728" s="460"/>
      <c r="F3728" s="650" t="s">
        <v>26</v>
      </c>
      <c r="G3728" s="517">
        <f>SUBTOTAL(9,G3719:G3727)</f>
        <v>0</v>
      </c>
    </row>
    <row r="3729" spans="1:7" ht="19.899999999999999" customHeight="1">
      <c r="A3729" s="513"/>
      <c r="B3729" s="163"/>
      <c r="C3729" s="455" t="s">
        <v>712</v>
      </c>
      <c r="D3729" s="459"/>
      <c r="E3729" s="460"/>
      <c r="F3729" s="461"/>
      <c r="G3729" s="514"/>
    </row>
    <row r="3730" spans="1:7" ht="19.899999999999999" customHeight="1">
      <c r="A3730" s="677" t="s">
        <v>575</v>
      </c>
      <c r="B3730" s="678"/>
      <c r="C3730" s="679" t="s">
        <v>0</v>
      </c>
      <c r="D3730" s="681" t="s">
        <v>23</v>
      </c>
      <c r="E3730" s="681" t="s">
        <v>1830</v>
      </c>
      <c r="F3730" s="683" t="s">
        <v>1006</v>
      </c>
      <c r="G3730" s="685" t="s">
        <v>25</v>
      </c>
    </row>
    <row r="3731" spans="1:7" ht="19.899999999999999" customHeight="1">
      <c r="A3731" s="477" t="s">
        <v>576</v>
      </c>
      <c r="B3731" s="477" t="s">
        <v>577</v>
      </c>
      <c r="C3731" s="680"/>
      <c r="D3731" s="682"/>
      <c r="E3731" s="682"/>
      <c r="F3731" s="684"/>
      <c r="G3731" s="686"/>
    </row>
    <row r="3732" spans="1:7" ht="19.899999999999999" customHeight="1">
      <c r="A3732" s="515">
        <f t="shared" ref="A3732:A3738" si="1142">IFERROR(VLOOKUP(C3732,T_Insumos,4,FALSE),0)</f>
        <v>0</v>
      </c>
      <c r="B3732" s="478">
        <f t="shared" ref="B3732:B3738" si="1143">IFERROR(VLOOKUP(C3732,T_Insumos,5,FALSE),0)</f>
        <v>0</v>
      </c>
      <c r="C3732" s="482"/>
      <c r="D3732" s="475"/>
      <c r="E3732" s="472">
        <f t="shared" ref="E3732:E3738" si="1144">IFERROR(VLOOKUP(C3732,T_Insumos,3,FALSE),0)</f>
        <v>0</v>
      </c>
      <c r="F3732" s="475">
        <f>IF(C3732="",0,IFERROR(VLOOKUP(COUNTIF($A$1:A3732,"ANALISIS DE PRECIOS"),T_Rendimiento_Equipo,5,FALSE),0))</f>
        <v>0</v>
      </c>
      <c r="G3732" s="472">
        <f>IFERROR(ROUND(D3732*E3732/F3732,2),0)</f>
        <v>0</v>
      </c>
    </row>
    <row r="3733" spans="1:7" ht="19.899999999999999" customHeight="1">
      <c r="A3733" s="515">
        <f t="shared" si="1142"/>
        <v>0</v>
      </c>
      <c r="B3733" s="478">
        <f t="shared" si="1143"/>
        <v>0</v>
      </c>
      <c r="C3733" s="469"/>
      <c r="D3733" s="475"/>
      <c r="E3733" s="472">
        <f t="shared" si="1144"/>
        <v>0</v>
      </c>
      <c r="F3733" s="475">
        <f>IF(C3733="",0,IFERROR(VLOOKUP(COUNTIF($A$1:A3733,"ANALISIS DE PRECIOS"),T_Rendimiento_Equipo,5,FALSE),0))</f>
        <v>0</v>
      </c>
      <c r="G3733" s="472">
        <f t="shared" ref="G3733:G3738" si="1145">IFERROR(ROUND(D3733*E3733/F3733,2),0)</f>
        <v>0</v>
      </c>
    </row>
    <row r="3734" spans="1:7" ht="19.899999999999999" customHeight="1">
      <c r="A3734" s="515">
        <f t="shared" si="1142"/>
        <v>0</v>
      </c>
      <c r="B3734" s="478">
        <f t="shared" si="1143"/>
        <v>0</v>
      </c>
      <c r="C3734" s="469"/>
      <c r="D3734" s="475"/>
      <c r="E3734" s="472">
        <f t="shared" si="1144"/>
        <v>0</v>
      </c>
      <c r="F3734" s="475">
        <f>IF(C3734="",0,IFERROR(VLOOKUP(COUNTIF($A$1:A3734,"ANALISIS DE PRECIOS"),T_Rendimiento_Equipo,5,FALSE),0))</f>
        <v>0</v>
      </c>
      <c r="G3734" s="472">
        <f t="shared" si="1145"/>
        <v>0</v>
      </c>
    </row>
    <row r="3735" spans="1:7" ht="19.899999999999999" customHeight="1">
      <c r="A3735" s="515">
        <f t="shared" si="1142"/>
        <v>0</v>
      </c>
      <c r="B3735" s="478">
        <f t="shared" si="1143"/>
        <v>0</v>
      </c>
      <c r="C3735" s="469"/>
      <c r="D3735" s="475"/>
      <c r="E3735" s="472">
        <f t="shared" si="1144"/>
        <v>0</v>
      </c>
      <c r="F3735" s="475">
        <f>IF(C3735="",0,IFERROR(VLOOKUP(COUNTIF($A$1:A3735,"ANALISIS DE PRECIOS"),T_Rendimiento_Equipo,5,FALSE),0))</f>
        <v>0</v>
      </c>
      <c r="G3735" s="472">
        <f t="shared" si="1145"/>
        <v>0</v>
      </c>
    </row>
    <row r="3736" spans="1:7" ht="19.899999999999999" customHeight="1">
      <c r="A3736" s="515">
        <f t="shared" si="1142"/>
        <v>0</v>
      </c>
      <c r="B3736" s="478">
        <f t="shared" si="1143"/>
        <v>0</v>
      </c>
      <c r="C3736" s="469"/>
      <c r="D3736" s="475"/>
      <c r="E3736" s="472">
        <f t="shared" si="1144"/>
        <v>0</v>
      </c>
      <c r="F3736" s="475">
        <f>IF(C3736="",0,IFERROR(VLOOKUP(COUNTIF($A$1:A3736,"ANALISIS DE PRECIOS"),T_Rendimiento_Equipo,5,FALSE),0))</f>
        <v>0</v>
      </c>
      <c r="G3736" s="472">
        <f t="shared" si="1145"/>
        <v>0</v>
      </c>
    </row>
    <row r="3737" spans="1:7" ht="19.899999999999999" customHeight="1">
      <c r="A3737" s="515">
        <f t="shared" si="1142"/>
        <v>0</v>
      </c>
      <c r="B3737" s="478">
        <f t="shared" si="1143"/>
        <v>0</v>
      </c>
      <c r="C3737" s="469"/>
      <c r="D3737" s="483"/>
      <c r="E3737" s="472">
        <f t="shared" si="1144"/>
        <v>0</v>
      </c>
      <c r="F3737" s="475">
        <f>IF(C3737="",0,IFERROR(VLOOKUP(COUNTIF($A$1:A3737,"ANALISIS DE PRECIOS"),T_Rendimiento_Equipo,5,FALSE),0))</f>
        <v>0</v>
      </c>
      <c r="G3737" s="472">
        <f t="shared" si="1145"/>
        <v>0</v>
      </c>
    </row>
    <row r="3738" spans="1:7" ht="19.899999999999999" customHeight="1">
      <c r="A3738" s="515">
        <f t="shared" si="1142"/>
        <v>0</v>
      </c>
      <c r="B3738" s="478">
        <f t="shared" si="1143"/>
        <v>0</v>
      </c>
      <c r="C3738" s="478"/>
      <c r="D3738" s="484"/>
      <c r="E3738" s="472">
        <f t="shared" si="1144"/>
        <v>0</v>
      </c>
      <c r="F3738" s="475">
        <f>IF(C3738="",0,IFERROR(VLOOKUP(COUNTIF($A$1:A3738,"ANALISIS DE PRECIOS"),T_Rendimiento_Equipo,5,FALSE),0))</f>
        <v>0</v>
      </c>
      <c r="G3738" s="472">
        <f t="shared" si="1145"/>
        <v>0</v>
      </c>
    </row>
    <row r="3739" spans="1:7" ht="19.899999999999999" customHeight="1">
      <c r="A3739" s="516"/>
      <c r="B3739" s="459"/>
      <c r="C3739" s="163"/>
      <c r="D3739" s="459"/>
      <c r="E3739" s="460"/>
      <c r="F3739" s="650" t="s">
        <v>27</v>
      </c>
      <c r="G3739" s="518">
        <f>SUBTOTAL(9,G3732:G3738)</f>
        <v>0</v>
      </c>
    </row>
    <row r="3740" spans="1:7" ht="19.899999999999999" customHeight="1">
      <c r="A3740" s="513"/>
      <c r="B3740" s="163"/>
      <c r="C3740" s="455" t="s">
        <v>1013</v>
      </c>
      <c r="D3740" s="459"/>
      <c r="E3740" s="460"/>
      <c r="F3740" s="461"/>
      <c r="G3740" s="514"/>
    </row>
    <row r="3741" spans="1:7" ht="19.899999999999999" customHeight="1">
      <c r="A3741" s="677" t="s">
        <v>575</v>
      </c>
      <c r="B3741" s="678"/>
      <c r="C3741" s="679" t="s">
        <v>0</v>
      </c>
      <c r="D3741" s="679" t="s">
        <v>1865</v>
      </c>
      <c r="E3741" s="681" t="s">
        <v>23</v>
      </c>
      <c r="F3741" s="683" t="s">
        <v>24</v>
      </c>
      <c r="G3741" s="685" t="s">
        <v>25</v>
      </c>
    </row>
    <row r="3742" spans="1:7" ht="19.899999999999999" customHeight="1">
      <c r="A3742" s="477" t="s">
        <v>576</v>
      </c>
      <c r="B3742" s="477" t="s">
        <v>577</v>
      </c>
      <c r="C3742" s="680"/>
      <c r="D3742" s="680"/>
      <c r="E3742" s="682"/>
      <c r="F3742" s="684"/>
      <c r="G3742" s="686"/>
    </row>
    <row r="3743" spans="1:7" ht="19.899999999999999" customHeight="1">
      <c r="A3743" s="515">
        <f t="shared" ref="A3743:A3753" si="1146">IFERROR(VLOOKUP(C3743,T_Insumos,4,FALSE),0)</f>
        <v>0</v>
      </c>
      <c r="B3743" s="478">
        <f t="shared" ref="B3743:B3753" si="1147">IFERROR(VLOOKUP(C3743,T_Insumos,5,FALSE),0)</f>
        <v>0</v>
      </c>
      <c r="C3743" s="478"/>
      <c r="D3743" s="526">
        <f t="shared" ref="D3743:D3753" si="1148">IFERROR(VLOOKUP(C3743,T_Insumos,2,FALSE),0)</f>
        <v>0</v>
      </c>
      <c r="E3743" s="470"/>
      <c r="F3743" s="472">
        <f t="shared" ref="F3743:F3753" si="1149">IFERROR(VLOOKUP(C3743,T_Insumos,3,FALSE),0)</f>
        <v>0</v>
      </c>
      <c r="G3743" s="472">
        <f>ROUND(E3743*F3743,2)</f>
        <v>0</v>
      </c>
    </row>
    <row r="3744" spans="1:7" ht="19.899999999999999" customHeight="1">
      <c r="A3744" s="515">
        <f t="shared" si="1146"/>
        <v>0</v>
      </c>
      <c r="B3744" s="478">
        <f t="shared" si="1147"/>
        <v>0</v>
      </c>
      <c r="C3744" s="478"/>
      <c r="D3744" s="526">
        <f t="shared" si="1148"/>
        <v>0</v>
      </c>
      <c r="E3744" s="470"/>
      <c r="F3744" s="472">
        <f t="shared" si="1149"/>
        <v>0</v>
      </c>
      <c r="G3744" s="472">
        <f t="shared" ref="G3744:G3753" si="1150">ROUND(E3744*F3744,2)</f>
        <v>0</v>
      </c>
    </row>
    <row r="3745" spans="1:7" ht="19.899999999999999" customHeight="1">
      <c r="A3745" s="515">
        <f t="shared" si="1146"/>
        <v>0</v>
      </c>
      <c r="B3745" s="478">
        <f t="shared" si="1147"/>
        <v>0</v>
      </c>
      <c r="C3745" s="478"/>
      <c r="D3745" s="526">
        <f t="shared" si="1148"/>
        <v>0</v>
      </c>
      <c r="E3745" s="470"/>
      <c r="F3745" s="472">
        <f t="shared" si="1149"/>
        <v>0</v>
      </c>
      <c r="G3745" s="472">
        <f t="shared" si="1150"/>
        <v>0</v>
      </c>
    </row>
    <row r="3746" spans="1:7" ht="19.899999999999999" customHeight="1">
      <c r="A3746" s="515">
        <f t="shared" si="1146"/>
        <v>0</v>
      </c>
      <c r="B3746" s="478">
        <f t="shared" si="1147"/>
        <v>0</v>
      </c>
      <c r="C3746" s="478"/>
      <c r="D3746" s="526">
        <f t="shared" si="1148"/>
        <v>0</v>
      </c>
      <c r="E3746" s="470"/>
      <c r="F3746" s="472">
        <f t="shared" si="1149"/>
        <v>0</v>
      </c>
      <c r="G3746" s="472">
        <f t="shared" si="1150"/>
        <v>0</v>
      </c>
    </row>
    <row r="3747" spans="1:7" ht="19.899999999999999" customHeight="1">
      <c r="A3747" s="515">
        <f t="shared" si="1146"/>
        <v>0</v>
      </c>
      <c r="B3747" s="478">
        <f t="shared" si="1147"/>
        <v>0</v>
      </c>
      <c r="C3747" s="478"/>
      <c r="D3747" s="526">
        <f t="shared" si="1148"/>
        <v>0</v>
      </c>
      <c r="E3747" s="470"/>
      <c r="F3747" s="472">
        <f t="shared" si="1149"/>
        <v>0</v>
      </c>
      <c r="G3747" s="472">
        <f t="shared" si="1150"/>
        <v>0</v>
      </c>
    </row>
    <row r="3748" spans="1:7" ht="19.899999999999999" customHeight="1">
      <c r="A3748" s="515">
        <f t="shared" si="1146"/>
        <v>0</v>
      </c>
      <c r="B3748" s="478">
        <f t="shared" si="1147"/>
        <v>0</v>
      </c>
      <c r="C3748" s="478"/>
      <c r="D3748" s="526">
        <f t="shared" si="1148"/>
        <v>0</v>
      </c>
      <c r="E3748" s="470"/>
      <c r="F3748" s="472">
        <f t="shared" si="1149"/>
        <v>0</v>
      </c>
      <c r="G3748" s="472">
        <f t="shared" si="1150"/>
        <v>0</v>
      </c>
    </row>
    <row r="3749" spans="1:7" ht="19.899999999999999" customHeight="1">
      <c r="A3749" s="515">
        <f t="shared" si="1146"/>
        <v>0</v>
      </c>
      <c r="B3749" s="478">
        <f t="shared" si="1147"/>
        <v>0</v>
      </c>
      <c r="C3749" s="478"/>
      <c r="D3749" s="526">
        <f t="shared" si="1148"/>
        <v>0</v>
      </c>
      <c r="E3749" s="470"/>
      <c r="F3749" s="472">
        <f t="shared" si="1149"/>
        <v>0</v>
      </c>
      <c r="G3749" s="472">
        <f t="shared" si="1150"/>
        <v>0</v>
      </c>
    </row>
    <row r="3750" spans="1:7" ht="19.899999999999999" customHeight="1">
      <c r="A3750" s="515">
        <f t="shared" si="1146"/>
        <v>0</v>
      </c>
      <c r="B3750" s="478">
        <f t="shared" si="1147"/>
        <v>0</v>
      </c>
      <c r="C3750" s="478"/>
      <c r="D3750" s="526">
        <f t="shared" si="1148"/>
        <v>0</v>
      </c>
      <c r="E3750" s="470"/>
      <c r="F3750" s="472">
        <f t="shared" si="1149"/>
        <v>0</v>
      </c>
      <c r="G3750" s="472">
        <f t="shared" si="1150"/>
        <v>0</v>
      </c>
    </row>
    <row r="3751" spans="1:7" ht="19.899999999999999" customHeight="1">
      <c r="A3751" s="515">
        <f t="shared" si="1146"/>
        <v>0</v>
      </c>
      <c r="B3751" s="478">
        <f t="shared" si="1147"/>
        <v>0</v>
      </c>
      <c r="C3751" s="478"/>
      <c r="D3751" s="526">
        <f t="shared" si="1148"/>
        <v>0</v>
      </c>
      <c r="E3751" s="470"/>
      <c r="F3751" s="472">
        <f t="shared" si="1149"/>
        <v>0</v>
      </c>
      <c r="G3751" s="472">
        <f t="shared" si="1150"/>
        <v>0</v>
      </c>
    </row>
    <row r="3752" spans="1:7" ht="19.899999999999999" customHeight="1">
      <c r="A3752" s="515">
        <f t="shared" si="1146"/>
        <v>0</v>
      </c>
      <c r="B3752" s="478">
        <f t="shared" si="1147"/>
        <v>0</v>
      </c>
      <c r="C3752" s="478"/>
      <c r="D3752" s="526">
        <f t="shared" si="1148"/>
        <v>0</v>
      </c>
      <c r="E3752" s="470"/>
      <c r="F3752" s="472">
        <f t="shared" si="1149"/>
        <v>0</v>
      </c>
      <c r="G3752" s="472">
        <f t="shared" si="1150"/>
        <v>0</v>
      </c>
    </row>
    <row r="3753" spans="1:7" ht="19.899999999999999" customHeight="1">
      <c r="A3753" s="515">
        <f t="shared" si="1146"/>
        <v>0</v>
      </c>
      <c r="B3753" s="478">
        <f t="shared" si="1147"/>
        <v>0</v>
      </c>
      <c r="C3753" s="478"/>
      <c r="D3753" s="526">
        <f t="shared" si="1148"/>
        <v>0</v>
      </c>
      <c r="E3753" s="470"/>
      <c r="F3753" s="472">
        <f t="shared" si="1149"/>
        <v>0</v>
      </c>
      <c r="G3753" s="472">
        <f t="shared" si="1150"/>
        <v>0</v>
      </c>
    </row>
    <row r="3754" spans="1:7" ht="19.899999999999999" customHeight="1">
      <c r="A3754" s="513"/>
      <c r="B3754" s="163"/>
      <c r="C3754" s="163"/>
      <c r="D3754" s="459"/>
      <c r="E3754" s="460"/>
      <c r="F3754" s="650" t="s">
        <v>28</v>
      </c>
      <c r="G3754" s="518">
        <f>SUBTOTAL(9,G3743:G3753)</f>
        <v>0</v>
      </c>
    </row>
    <row r="3755" spans="1:7" ht="19.899999999999999" customHeight="1">
      <c r="A3755" s="513"/>
      <c r="B3755" s="163"/>
      <c r="C3755" s="455" t="s">
        <v>1014</v>
      </c>
      <c r="D3755" s="459"/>
      <c r="E3755" s="460"/>
      <c r="F3755" s="461"/>
      <c r="G3755" s="514"/>
    </row>
    <row r="3756" spans="1:7" ht="19.899999999999999" customHeight="1">
      <c r="A3756" s="677" t="s">
        <v>575</v>
      </c>
      <c r="B3756" s="678"/>
      <c r="C3756" s="679" t="s">
        <v>0</v>
      </c>
      <c r="D3756" s="679" t="s">
        <v>1865</v>
      </c>
      <c r="E3756" s="681" t="s">
        <v>23</v>
      </c>
      <c r="F3756" s="683" t="s">
        <v>24</v>
      </c>
      <c r="G3756" s="685" t="s">
        <v>25</v>
      </c>
    </row>
    <row r="3757" spans="1:7" ht="19.899999999999999" customHeight="1">
      <c r="A3757" s="477" t="s">
        <v>576</v>
      </c>
      <c r="B3757" s="477" t="s">
        <v>577</v>
      </c>
      <c r="C3757" s="680"/>
      <c r="D3757" s="680"/>
      <c r="E3757" s="682"/>
      <c r="F3757" s="684"/>
      <c r="G3757" s="686"/>
    </row>
    <row r="3758" spans="1:7" ht="19.899999999999999" customHeight="1">
      <c r="A3758" s="515">
        <f>IFERROR(VLOOKUP(C3758,T_Insumos,4,FALSE),0)</f>
        <v>0</v>
      </c>
      <c r="B3758" s="478">
        <f>IFERROR(VLOOKUP(C3758,T_Insumos,5,FALSE),0)</f>
        <v>0</v>
      </c>
      <c r="C3758" s="469"/>
      <c r="D3758" s="526">
        <f>IF(C3758=0,0,"$/tnkm")</f>
        <v>0</v>
      </c>
      <c r="E3758" s="470"/>
      <c r="F3758" s="472">
        <f>IFERROR(VLOOKUP(C3758,T_Insumos,3,FALSE),0)</f>
        <v>0</v>
      </c>
      <c r="G3758" s="472">
        <f>ROUND(E3758*F3758,2)</f>
        <v>0</v>
      </c>
    </row>
    <row r="3759" spans="1:7" ht="19.899999999999999" customHeight="1">
      <c r="A3759" s="515">
        <f>IFERROR(VLOOKUP(C3759,T_Insumos,4,FALSE),0)</f>
        <v>0</v>
      </c>
      <c r="B3759" s="478">
        <f>IFERROR(VLOOKUP(C3759,T_Insumos,5,FALSE),0)</f>
        <v>0</v>
      </c>
      <c r="C3759" s="469"/>
      <c r="D3759" s="526">
        <f>IF(C3759=0,0,"$/tnkm")</f>
        <v>0</v>
      </c>
      <c r="E3759" s="486"/>
      <c r="F3759" s="472">
        <f>IFERROR(VLOOKUP(C3759,T_Insumos,3,FALSE),0)</f>
        <v>0</v>
      </c>
      <c r="G3759" s="472">
        <f t="shared" ref="G3759" si="1151">ROUND(E3759*F3759,2)</f>
        <v>0</v>
      </c>
    </row>
    <row r="3760" spans="1:7" ht="19.899999999999999" customHeight="1">
      <c r="A3760" s="513"/>
      <c r="B3760" s="163"/>
      <c r="C3760" s="163"/>
      <c r="D3760" s="459"/>
      <c r="E3760" s="460"/>
      <c r="F3760" s="650" t="s">
        <v>1015</v>
      </c>
      <c r="G3760" s="518">
        <f>SUBTOTAL(9,G3758:G3759)</f>
        <v>0</v>
      </c>
    </row>
    <row r="3761" spans="1:7" ht="19.899999999999999" customHeight="1">
      <c r="A3761" s="516"/>
      <c r="B3761" s="459"/>
      <c r="C3761" s="163"/>
      <c r="D3761" s="459"/>
      <c r="E3761" s="460"/>
      <c r="F3761" s="461"/>
      <c r="G3761" s="514"/>
    </row>
    <row r="3762" spans="1:7" ht="19.899999999999999" customHeight="1">
      <c r="A3762" s="574" t="str">
        <f>B3696</f>
        <v>6.2.11</v>
      </c>
      <c r="B3762" s="571" t="str">
        <f ca="1">C3696</f>
        <v>Puente de adherencia entre hormigones</v>
      </c>
      <c r="C3762" s="459"/>
      <c r="D3762" s="459" t="s">
        <v>1831</v>
      </c>
      <c r="E3762" s="572"/>
      <c r="F3762" s="573" t="str">
        <f ca="1">"$/"&amp;G3696</f>
        <v>$/kg</v>
      </c>
      <c r="G3762" s="523">
        <f>SUBTOTAL(9,G3719:G3761)</f>
        <v>0</v>
      </c>
    </row>
    <row r="3763" spans="1:7" ht="19.899999999999999" customHeight="1">
      <c r="A3763" s="519"/>
      <c r="B3763" s="520"/>
      <c r="C3763" s="521"/>
      <c r="D3763" s="521" t="s">
        <v>2041</v>
      </c>
      <c r="E3763" s="522"/>
      <c r="F3763" s="575" t="str">
        <f ca="1">"$/"&amp;G3696</f>
        <v>$/kg</v>
      </c>
      <c r="G3763" s="523">
        <f>ROUND(G3762*Coeficiente_Paso,2)</f>
        <v>0</v>
      </c>
    </row>
    <row r="3764" spans="1:7" ht="19.899999999999999" customHeight="1">
      <c r="A3764" s="163"/>
      <c r="B3764" s="163"/>
      <c r="C3764" s="163"/>
      <c r="D3764" s="163"/>
      <c r="E3764" s="163"/>
      <c r="F3764" s="163"/>
      <c r="G3764" s="163"/>
    </row>
    <row r="3765" spans="1:7" ht="19.899999999999999" customHeight="1">
      <c r="A3765" s="687" t="s">
        <v>30</v>
      </c>
      <c r="B3765" s="688"/>
      <c r="C3765" s="688"/>
      <c r="D3765" s="688"/>
      <c r="E3765" s="688"/>
      <c r="F3765" s="688"/>
      <c r="G3765" s="689"/>
    </row>
    <row r="3766" spans="1:7" ht="19.899999999999999" customHeight="1">
      <c r="A3766" s="502" t="s">
        <v>710</v>
      </c>
      <c r="B3766" s="453" t="str">
        <f>Comitente</f>
        <v>DEPARTAMENTO DE HIDRAULICA</v>
      </c>
      <c r="C3766" s="454"/>
      <c r="D3766" s="455"/>
      <c r="E3766" s="455"/>
      <c r="F3766" s="456"/>
      <c r="G3766" s="503"/>
    </row>
    <row r="3767" spans="1:7" ht="19.899999999999999" customHeight="1">
      <c r="A3767" s="502" t="s">
        <v>711</v>
      </c>
      <c r="B3767" s="453">
        <f>Contratista</f>
        <v>0</v>
      </c>
      <c r="C3767" s="457"/>
      <c r="D3767" s="457"/>
      <c r="E3767" s="457"/>
      <c r="F3767" s="453"/>
      <c r="G3767" s="504"/>
    </row>
    <row r="3768" spans="1:7" ht="19.899999999999999" customHeight="1">
      <c r="A3768" s="502" t="s">
        <v>20</v>
      </c>
      <c r="B3768" s="453" t="str">
        <f>Obra</f>
        <v>MEJORA DE LA RED DE RIEGO DEL VALLE DE JÁCHAL</v>
      </c>
      <c r="C3768" s="457"/>
      <c r="D3768" s="457"/>
      <c r="E3768" s="457"/>
      <c r="F3768" s="453" t="s">
        <v>31</v>
      </c>
      <c r="G3768" s="504" t="str">
        <f>Fecha_Base</f>
        <v>XX/07/2020</v>
      </c>
    </row>
    <row r="3769" spans="1:7" ht="19.899999999999999" customHeight="1">
      <c r="A3769" s="505" t="s">
        <v>709</v>
      </c>
      <c r="B3769" s="458" t="str">
        <f>Ubicación</f>
        <v>JACHAL</v>
      </c>
      <c r="C3769" s="458"/>
      <c r="D3769" s="459"/>
      <c r="E3769" s="460"/>
      <c r="F3769" s="461"/>
      <c r="G3769" s="506"/>
    </row>
    <row r="3770" spans="1:7" ht="19.899999999999999" customHeight="1">
      <c r="A3770" s="505" t="s">
        <v>32</v>
      </c>
      <c r="B3770" s="462">
        <f>IFERROR(VALUE(LEFT(B3771,FIND(".",B3771)-1)),"")</f>
        <v>6</v>
      </c>
      <c r="C3770" s="163" t="str">
        <f ca="1">IFERROR(VLOOKUP(B3770,T_Computo_Presupuesto,2,FALSE),0)</f>
        <v>CANAL DEL NORTE</v>
      </c>
      <c r="D3770" s="163"/>
      <c r="E3770" s="460"/>
      <c r="F3770" s="461"/>
      <c r="G3770" s="506"/>
    </row>
    <row r="3771" spans="1:7" ht="19.899999999999999" customHeight="1">
      <c r="A3771" s="505" t="s">
        <v>21</v>
      </c>
      <c r="B3771" s="463" t="str">
        <f>IFERROR(VLOOKUP(COUNTIF($A$1:A3771,"ANALISIS DE PRECIOS"),T_NumeroItem,2,FALSE),"")</f>
        <v>6.2.12</v>
      </c>
      <c r="C3771" s="690" t="str">
        <f ca="1">IFERROR(VLOOKUP(B3771,T_Computo_Presupuesto,2,FALSE),0)</f>
        <v>Juntas de dilatacion</v>
      </c>
      <c r="D3771" s="690"/>
      <c r="E3771" s="690"/>
      <c r="F3771" s="458" t="s">
        <v>22</v>
      </c>
      <c r="G3771" s="507" t="str">
        <f ca="1">IFERROR(VLOOKUP(B3771,T_Computo_Presupuesto,4,FALSE),0)</f>
        <v>m</v>
      </c>
    </row>
    <row r="3772" spans="1:7" ht="19.899999999999999" customHeight="1">
      <c r="A3772" s="505"/>
      <c r="B3772" s="458"/>
      <c r="C3772" s="163"/>
      <c r="D3772" s="459"/>
      <c r="E3772" s="460"/>
      <c r="F3772" s="163"/>
      <c r="G3772" s="508"/>
    </row>
    <row r="3773" spans="1:7" ht="19.899999999999999" customHeight="1">
      <c r="A3773" s="509"/>
      <c r="B3773" s="464"/>
      <c r="C3773" s="465" t="s">
        <v>998</v>
      </c>
      <c r="D3773" s="464"/>
      <c r="E3773" s="464"/>
      <c r="F3773" s="464"/>
      <c r="G3773" s="510"/>
    </row>
    <row r="3774" spans="1:7" ht="19.899999999999999" customHeight="1">
      <c r="A3774" s="505"/>
      <c r="B3774" s="466"/>
      <c r="C3774" s="163"/>
      <c r="D3774" s="459"/>
      <c r="E3774" s="460"/>
      <c r="F3774" s="458"/>
      <c r="G3774" s="507"/>
    </row>
    <row r="3775" spans="1:7" ht="19.899999999999999" customHeight="1">
      <c r="A3775" s="505"/>
      <c r="B3775" s="466"/>
      <c r="C3775" s="467" t="s">
        <v>999</v>
      </c>
      <c r="D3775" s="468" t="s">
        <v>23</v>
      </c>
      <c r="E3775" s="468" t="s">
        <v>1000</v>
      </c>
      <c r="F3775" s="468" t="s">
        <v>1001</v>
      </c>
      <c r="G3775" s="467" t="s">
        <v>1002</v>
      </c>
    </row>
    <row r="3776" spans="1:7" ht="19.899999999999999" customHeight="1">
      <c r="A3776" s="505"/>
      <c r="B3776" s="466"/>
      <c r="C3776" s="469"/>
      <c r="D3776" s="470"/>
      <c r="E3776" s="471">
        <f t="shared" ref="E3776:E3785" si="1152">IFERROR(VLOOKUP(C3776,T_Equipos,4,FALSE),0)</f>
        <v>0</v>
      </c>
      <c r="F3776" s="472">
        <f t="shared" ref="F3776:F3785" si="1153">IFERROR(VLOOKUP(C3776,T_Equipos,5,FALSE),0)</f>
        <v>0</v>
      </c>
      <c r="G3776" s="472">
        <f>ROUND(D3776*F3776,2)</f>
        <v>0</v>
      </c>
    </row>
    <row r="3777" spans="1:7" ht="19.899999999999999" customHeight="1">
      <c r="A3777" s="505"/>
      <c r="B3777" s="466"/>
      <c r="C3777" s="469"/>
      <c r="D3777" s="470"/>
      <c r="E3777" s="471">
        <f t="shared" si="1152"/>
        <v>0</v>
      </c>
      <c r="F3777" s="472">
        <f t="shared" si="1153"/>
        <v>0</v>
      </c>
      <c r="G3777" s="472">
        <f>ROUND(D3777*F3777,2)</f>
        <v>0</v>
      </c>
    </row>
    <row r="3778" spans="1:7" ht="19.899999999999999" customHeight="1">
      <c r="A3778" s="505"/>
      <c r="B3778" s="466"/>
      <c r="C3778" s="469"/>
      <c r="D3778" s="470"/>
      <c r="E3778" s="471">
        <f t="shared" si="1152"/>
        <v>0</v>
      </c>
      <c r="F3778" s="472">
        <f t="shared" si="1153"/>
        <v>0</v>
      </c>
      <c r="G3778" s="472">
        <f>ROUND(D3778*F3778,2)</f>
        <v>0</v>
      </c>
    </row>
    <row r="3779" spans="1:7" ht="19.899999999999999" customHeight="1">
      <c r="A3779" s="505"/>
      <c r="B3779" s="466"/>
      <c r="C3779" s="469"/>
      <c r="D3779" s="470"/>
      <c r="E3779" s="471">
        <f t="shared" si="1152"/>
        <v>0</v>
      </c>
      <c r="F3779" s="472">
        <f t="shared" si="1153"/>
        <v>0</v>
      </c>
      <c r="G3779" s="472">
        <f>ROUND(D3779*F3779,2)</f>
        <v>0</v>
      </c>
    </row>
    <row r="3780" spans="1:7" ht="19.899999999999999" customHeight="1">
      <c r="A3780" s="505"/>
      <c r="B3780" s="466"/>
      <c r="C3780" s="469"/>
      <c r="D3780" s="470"/>
      <c r="E3780" s="471">
        <f t="shared" si="1152"/>
        <v>0</v>
      </c>
      <c r="F3780" s="472">
        <f t="shared" si="1153"/>
        <v>0</v>
      </c>
      <c r="G3780" s="472">
        <f t="shared" ref="G3780:G3785" si="1154">ROUND(D3780*F3780,2)</f>
        <v>0</v>
      </c>
    </row>
    <row r="3781" spans="1:7" ht="19.899999999999999" customHeight="1">
      <c r="A3781" s="505"/>
      <c r="B3781" s="466"/>
      <c r="C3781" s="469"/>
      <c r="D3781" s="470"/>
      <c r="E3781" s="471">
        <f t="shared" si="1152"/>
        <v>0</v>
      </c>
      <c r="F3781" s="472">
        <f t="shared" si="1153"/>
        <v>0</v>
      </c>
      <c r="G3781" s="472">
        <f t="shared" si="1154"/>
        <v>0</v>
      </c>
    </row>
    <row r="3782" spans="1:7" ht="19.899999999999999" customHeight="1">
      <c r="A3782" s="505"/>
      <c r="B3782" s="466"/>
      <c r="C3782" s="469"/>
      <c r="D3782" s="470"/>
      <c r="E3782" s="471">
        <f t="shared" si="1152"/>
        <v>0</v>
      </c>
      <c r="F3782" s="472">
        <f t="shared" si="1153"/>
        <v>0</v>
      </c>
      <c r="G3782" s="472">
        <f t="shared" si="1154"/>
        <v>0</v>
      </c>
    </row>
    <row r="3783" spans="1:7" ht="19.899999999999999" customHeight="1">
      <c r="A3783" s="505"/>
      <c r="B3783" s="466"/>
      <c r="C3783" s="469"/>
      <c r="D3783" s="470"/>
      <c r="E3783" s="471">
        <f t="shared" si="1152"/>
        <v>0</v>
      </c>
      <c r="F3783" s="472">
        <f t="shared" si="1153"/>
        <v>0</v>
      </c>
      <c r="G3783" s="472">
        <f t="shared" si="1154"/>
        <v>0</v>
      </c>
    </row>
    <row r="3784" spans="1:7" ht="19.899999999999999" customHeight="1">
      <c r="A3784" s="505"/>
      <c r="B3784" s="466"/>
      <c r="C3784" s="469"/>
      <c r="D3784" s="470"/>
      <c r="E3784" s="471">
        <f t="shared" si="1152"/>
        <v>0</v>
      </c>
      <c r="F3784" s="472">
        <f t="shared" si="1153"/>
        <v>0</v>
      </c>
      <c r="G3784" s="472">
        <f t="shared" si="1154"/>
        <v>0</v>
      </c>
    </row>
    <row r="3785" spans="1:7" ht="19.899999999999999" customHeight="1">
      <c r="A3785" s="505"/>
      <c r="B3785" s="466"/>
      <c r="C3785" s="469"/>
      <c r="D3785" s="470"/>
      <c r="E3785" s="471">
        <f t="shared" si="1152"/>
        <v>0</v>
      </c>
      <c r="F3785" s="472">
        <f t="shared" si="1153"/>
        <v>0</v>
      </c>
      <c r="G3785" s="472">
        <f t="shared" si="1154"/>
        <v>0</v>
      </c>
    </row>
    <row r="3786" spans="1:7" ht="19.899999999999999" customHeight="1">
      <c r="A3786" s="505"/>
      <c r="B3786" s="466"/>
      <c r="C3786" s="163"/>
      <c r="D3786" s="163"/>
      <c r="E3786" s="473"/>
      <c r="F3786" s="458"/>
      <c r="G3786" s="507"/>
    </row>
    <row r="3787" spans="1:7" ht="19.899999999999999" customHeight="1">
      <c r="A3787" s="505"/>
      <c r="B3787" s="163"/>
      <c r="C3787" s="455" t="s">
        <v>1003</v>
      </c>
      <c r="D3787" s="458" t="s">
        <v>1000</v>
      </c>
      <c r="E3787" s="524">
        <f>SUMPRODUCT(D3776:D3785,E3776:E3785)</f>
        <v>0</v>
      </c>
      <c r="F3787" s="458" t="s">
        <v>1004</v>
      </c>
      <c r="G3787" s="525">
        <f>SUM(G3776:G3785)</f>
        <v>0</v>
      </c>
    </row>
    <row r="3788" spans="1:7" ht="19.899999999999999" customHeight="1">
      <c r="A3788" s="505"/>
      <c r="B3788" s="466"/>
      <c r="C3788" s="474"/>
      <c r="D3788" s="473"/>
      <c r="E3788" s="460"/>
      <c r="F3788" s="458"/>
      <c r="G3788" s="511"/>
    </row>
    <row r="3789" spans="1:7" ht="19.899999999999999" customHeight="1">
      <c r="A3789" s="512"/>
      <c r="B3789" s="466"/>
      <c r="C3789" s="458" t="s">
        <v>1005</v>
      </c>
      <c r="D3789" s="475"/>
      <c r="E3789" s="476" t="str">
        <f ca="1">G3771&amp;"/día"</f>
        <v>m/día</v>
      </c>
      <c r="F3789" s="452"/>
      <c r="G3789" s="507"/>
    </row>
    <row r="3790" spans="1:7" ht="19.899999999999999" customHeight="1">
      <c r="A3790" s="505"/>
      <c r="B3790" s="466"/>
      <c r="C3790" s="163"/>
      <c r="D3790" s="459"/>
      <c r="E3790" s="460"/>
      <c r="F3790" s="458"/>
      <c r="G3790" s="507"/>
    </row>
    <row r="3791" spans="1:7" ht="19.899999999999999" customHeight="1">
      <c r="A3791" s="677" t="s">
        <v>575</v>
      </c>
      <c r="B3791" s="678"/>
      <c r="C3791" s="679" t="s">
        <v>0</v>
      </c>
      <c r="D3791" s="691" t="s">
        <v>1864</v>
      </c>
      <c r="E3791" s="691" t="s">
        <v>1863</v>
      </c>
      <c r="F3791" s="683" t="s">
        <v>1006</v>
      </c>
      <c r="G3791" s="685" t="s">
        <v>25</v>
      </c>
    </row>
    <row r="3792" spans="1:7" ht="19.899999999999999" customHeight="1">
      <c r="A3792" s="477" t="s">
        <v>576</v>
      </c>
      <c r="B3792" s="477" t="s">
        <v>577</v>
      </c>
      <c r="C3792" s="680"/>
      <c r="D3792" s="692"/>
      <c r="E3792" s="682"/>
      <c r="F3792" s="684"/>
      <c r="G3792" s="686"/>
    </row>
    <row r="3793" spans="1:7" ht="19.899999999999999" customHeight="1">
      <c r="A3793" s="513"/>
      <c r="B3793" s="163"/>
      <c r="C3793" s="455" t="s">
        <v>1007</v>
      </c>
      <c r="D3793" s="460"/>
      <c r="E3793" s="460"/>
      <c r="F3793" s="163"/>
      <c r="G3793" s="514"/>
    </row>
    <row r="3794" spans="1:7" ht="19.899999999999999" customHeight="1">
      <c r="A3794" s="515">
        <f t="shared" ref="A3794:A3802" si="1155">IFERROR(VLOOKUP(C3794,T_Insumos,4,FALSE),0)</f>
        <v>0</v>
      </c>
      <c r="B3794" s="478">
        <f t="shared" ref="B3794:B3802" si="1156">IFERROR(VLOOKUP(C3794,T_Insumos,5,FALSE),0)</f>
        <v>0</v>
      </c>
      <c r="C3794" s="469"/>
      <c r="D3794" s="479">
        <f t="shared" ref="D3794:D3802" si="1157">IFERROR(VLOOKUP(C3794,T_Insumos,3,FALSE),0)</f>
        <v>0</v>
      </c>
      <c r="E3794" s="472">
        <f>D3794*$G$23</f>
        <v>0</v>
      </c>
      <c r="F3794" s="475">
        <f>IF(C3794="",0,IFERROR(VLOOKUP(COUNTIF($A$1:A3794,"ANALISIS DE PRECIOS"),T_Rendimiento_Equipo,5,FALSE),0))</f>
        <v>0</v>
      </c>
      <c r="G3794" s="472">
        <f>IFERROR(ROUND(E3794/F3794,2),0)</f>
        <v>0</v>
      </c>
    </row>
    <row r="3795" spans="1:7" ht="19.899999999999999" customHeight="1">
      <c r="A3795" s="515">
        <f t="shared" si="1155"/>
        <v>0</v>
      </c>
      <c r="B3795" s="478">
        <f t="shared" si="1156"/>
        <v>0</v>
      </c>
      <c r="C3795" s="469"/>
      <c r="D3795" s="479">
        <f t="shared" si="1157"/>
        <v>0</v>
      </c>
      <c r="E3795" s="472">
        <f t="shared" ref="E3795:E3802" si="1158">D3795*$G$23</f>
        <v>0</v>
      </c>
      <c r="F3795" s="475">
        <f>IF(C3795="",0,IFERROR(VLOOKUP(COUNTIF($A$1:A3795,"ANALISIS DE PRECIOS"),T_Rendimiento_Equipo,5,FALSE),0))</f>
        <v>0</v>
      </c>
      <c r="G3795" s="472">
        <f t="shared" ref="G3795:G3802" si="1159">IFERROR(ROUND(E3795/F3795,2),0)</f>
        <v>0</v>
      </c>
    </row>
    <row r="3796" spans="1:7" ht="19.899999999999999" customHeight="1">
      <c r="A3796" s="515">
        <f t="shared" si="1155"/>
        <v>0</v>
      </c>
      <c r="B3796" s="478">
        <f t="shared" si="1156"/>
        <v>0</v>
      </c>
      <c r="C3796" s="480"/>
      <c r="D3796" s="479">
        <f t="shared" si="1157"/>
        <v>0</v>
      </c>
      <c r="E3796" s="472">
        <f t="shared" si="1158"/>
        <v>0</v>
      </c>
      <c r="F3796" s="475">
        <f>IF(C3796="",0,IFERROR(VLOOKUP(COUNTIF($A$1:A3796,"ANALISIS DE PRECIOS"),T_Rendimiento_Equipo,5,FALSE),0))</f>
        <v>0</v>
      </c>
      <c r="G3796" s="472">
        <f t="shared" si="1159"/>
        <v>0</v>
      </c>
    </row>
    <row r="3797" spans="1:7" ht="19.899999999999999" customHeight="1">
      <c r="A3797" s="515">
        <f t="shared" si="1155"/>
        <v>0</v>
      </c>
      <c r="B3797" s="478">
        <f t="shared" si="1156"/>
        <v>0</v>
      </c>
      <c r="C3797" s="480"/>
      <c r="D3797" s="479">
        <f t="shared" si="1157"/>
        <v>0</v>
      </c>
      <c r="E3797" s="472">
        <f t="shared" si="1158"/>
        <v>0</v>
      </c>
      <c r="F3797" s="475">
        <f>IF(C3797="",0,IFERROR(VLOOKUP(COUNTIF($A$1:A3797,"ANALISIS DE PRECIOS"),T_Rendimiento_Equipo,5,FALSE),0))</f>
        <v>0</v>
      </c>
      <c r="G3797" s="472">
        <f t="shared" si="1159"/>
        <v>0</v>
      </c>
    </row>
    <row r="3798" spans="1:7" ht="19.899999999999999" customHeight="1">
      <c r="A3798" s="515">
        <f t="shared" si="1155"/>
        <v>0</v>
      </c>
      <c r="B3798" s="478">
        <f t="shared" si="1156"/>
        <v>0</v>
      </c>
      <c r="C3798" s="480"/>
      <c r="D3798" s="479">
        <f t="shared" si="1157"/>
        <v>0</v>
      </c>
      <c r="E3798" s="472">
        <f t="shared" si="1158"/>
        <v>0</v>
      </c>
      <c r="F3798" s="475">
        <f>IF(C3798="",0,IFERROR(VLOOKUP(COUNTIF($A$1:A3798,"ANALISIS DE PRECIOS"),T_Rendimiento_Equipo,5,FALSE),0))</f>
        <v>0</v>
      </c>
      <c r="G3798" s="472">
        <f t="shared" si="1159"/>
        <v>0</v>
      </c>
    </row>
    <row r="3799" spans="1:7" ht="19.899999999999999" customHeight="1">
      <c r="A3799" s="515">
        <f t="shared" si="1155"/>
        <v>0</v>
      </c>
      <c r="B3799" s="478">
        <f t="shared" si="1156"/>
        <v>0</v>
      </c>
      <c r="C3799" s="480"/>
      <c r="D3799" s="479">
        <f t="shared" si="1157"/>
        <v>0</v>
      </c>
      <c r="E3799" s="472">
        <f t="shared" si="1158"/>
        <v>0</v>
      </c>
      <c r="F3799" s="475">
        <f>IF(C3799="",0,IFERROR(VLOOKUP(COUNTIF($A$1:A3799,"ANALISIS DE PRECIOS"),T_Rendimiento_Equipo,5,FALSE),0))</f>
        <v>0</v>
      </c>
      <c r="G3799" s="472">
        <f t="shared" si="1159"/>
        <v>0</v>
      </c>
    </row>
    <row r="3800" spans="1:7" ht="19.899999999999999" customHeight="1">
      <c r="A3800" s="515">
        <f t="shared" si="1155"/>
        <v>0</v>
      </c>
      <c r="B3800" s="478">
        <f t="shared" si="1156"/>
        <v>0</v>
      </c>
      <c r="C3800" s="480"/>
      <c r="D3800" s="479">
        <f t="shared" si="1157"/>
        <v>0</v>
      </c>
      <c r="E3800" s="472">
        <f t="shared" si="1158"/>
        <v>0</v>
      </c>
      <c r="F3800" s="475">
        <f>IF(C3800="",0,IFERROR(VLOOKUP(COUNTIF($A$1:A3800,"ANALISIS DE PRECIOS"),T_Rendimiento_Equipo,5,FALSE),0))</f>
        <v>0</v>
      </c>
      <c r="G3800" s="472">
        <f t="shared" si="1159"/>
        <v>0</v>
      </c>
    </row>
    <row r="3801" spans="1:7" ht="19.899999999999999" customHeight="1">
      <c r="A3801" s="515">
        <f t="shared" si="1155"/>
        <v>0</v>
      </c>
      <c r="B3801" s="478">
        <f t="shared" si="1156"/>
        <v>0</v>
      </c>
      <c r="C3801" s="480"/>
      <c r="D3801" s="479">
        <f t="shared" si="1157"/>
        <v>0</v>
      </c>
      <c r="E3801" s="472">
        <f t="shared" si="1158"/>
        <v>0</v>
      </c>
      <c r="F3801" s="475">
        <f>IF(C3801="",0,IFERROR(VLOOKUP(COUNTIF($A$1:A3801,"ANALISIS DE PRECIOS"),T_Rendimiento_Equipo,5,FALSE),0))</f>
        <v>0</v>
      </c>
      <c r="G3801" s="472">
        <f t="shared" si="1159"/>
        <v>0</v>
      </c>
    </row>
    <row r="3802" spans="1:7" ht="19.899999999999999" customHeight="1">
      <c r="A3802" s="515">
        <f t="shared" si="1155"/>
        <v>0</v>
      </c>
      <c r="B3802" s="478">
        <f t="shared" si="1156"/>
        <v>0</v>
      </c>
      <c r="C3802" s="469"/>
      <c r="D3802" s="479">
        <f t="shared" si="1157"/>
        <v>0</v>
      </c>
      <c r="E3802" s="472">
        <f t="shared" si="1158"/>
        <v>0</v>
      </c>
      <c r="F3802" s="475">
        <f>IF(C3802="",0,IFERROR(VLOOKUP(COUNTIF($A$1:A3802,"ANALISIS DE PRECIOS"),T_Rendimiento_Equipo,5,FALSE),0))</f>
        <v>0</v>
      </c>
      <c r="G3802" s="472">
        <f t="shared" si="1159"/>
        <v>0</v>
      </c>
    </row>
    <row r="3803" spans="1:7" ht="19.899999999999999" customHeight="1">
      <c r="A3803" s="516"/>
      <c r="B3803" s="459"/>
      <c r="C3803" s="163"/>
      <c r="D3803" s="459"/>
      <c r="E3803" s="460"/>
      <c r="F3803" s="650" t="s">
        <v>26</v>
      </c>
      <c r="G3803" s="517">
        <f>SUBTOTAL(9,G3794:G3802)</f>
        <v>0</v>
      </c>
    </row>
    <row r="3804" spans="1:7" ht="19.899999999999999" customHeight="1">
      <c r="A3804" s="513"/>
      <c r="B3804" s="163"/>
      <c r="C3804" s="455" t="s">
        <v>712</v>
      </c>
      <c r="D3804" s="459"/>
      <c r="E3804" s="460"/>
      <c r="F3804" s="461"/>
      <c r="G3804" s="514"/>
    </row>
    <row r="3805" spans="1:7" ht="19.899999999999999" customHeight="1">
      <c r="A3805" s="677" t="s">
        <v>575</v>
      </c>
      <c r="B3805" s="678"/>
      <c r="C3805" s="679" t="s">
        <v>0</v>
      </c>
      <c r="D3805" s="681" t="s">
        <v>23</v>
      </c>
      <c r="E3805" s="681" t="s">
        <v>1830</v>
      </c>
      <c r="F3805" s="683" t="s">
        <v>1006</v>
      </c>
      <c r="G3805" s="685" t="s">
        <v>25</v>
      </c>
    </row>
    <row r="3806" spans="1:7" ht="19.899999999999999" customHeight="1">
      <c r="A3806" s="477" t="s">
        <v>576</v>
      </c>
      <c r="B3806" s="477" t="s">
        <v>577</v>
      </c>
      <c r="C3806" s="680"/>
      <c r="D3806" s="682"/>
      <c r="E3806" s="682"/>
      <c r="F3806" s="684"/>
      <c r="G3806" s="686"/>
    </row>
    <row r="3807" spans="1:7" ht="19.899999999999999" customHeight="1">
      <c r="A3807" s="515">
        <f t="shared" ref="A3807:A3813" si="1160">IFERROR(VLOOKUP(C3807,T_Insumos,4,FALSE),0)</f>
        <v>0</v>
      </c>
      <c r="B3807" s="478">
        <f t="shared" ref="B3807:B3813" si="1161">IFERROR(VLOOKUP(C3807,T_Insumos,5,FALSE),0)</f>
        <v>0</v>
      </c>
      <c r="C3807" s="482"/>
      <c r="D3807" s="475"/>
      <c r="E3807" s="472">
        <f t="shared" ref="E3807:E3813" si="1162">IFERROR(VLOOKUP(C3807,T_Insumos,3,FALSE),0)</f>
        <v>0</v>
      </c>
      <c r="F3807" s="475">
        <f>IF(C3807="",0,IFERROR(VLOOKUP(COUNTIF($A$1:A3807,"ANALISIS DE PRECIOS"),T_Rendimiento_Equipo,5,FALSE),0))</f>
        <v>0</v>
      </c>
      <c r="G3807" s="472">
        <f>IFERROR(ROUND(D3807*E3807/F3807,2),0)</f>
        <v>0</v>
      </c>
    </row>
    <row r="3808" spans="1:7" ht="19.899999999999999" customHeight="1">
      <c r="A3808" s="515">
        <f t="shared" si="1160"/>
        <v>0</v>
      </c>
      <c r="B3808" s="478">
        <f t="shared" si="1161"/>
        <v>0</v>
      </c>
      <c r="C3808" s="469"/>
      <c r="D3808" s="475"/>
      <c r="E3808" s="472">
        <f t="shared" si="1162"/>
        <v>0</v>
      </c>
      <c r="F3808" s="475">
        <f>IF(C3808="",0,IFERROR(VLOOKUP(COUNTIF($A$1:A3808,"ANALISIS DE PRECIOS"),T_Rendimiento_Equipo,5,FALSE),0))</f>
        <v>0</v>
      </c>
      <c r="G3808" s="472">
        <f t="shared" ref="G3808:G3813" si="1163">IFERROR(ROUND(D3808*E3808/F3808,2),0)</f>
        <v>0</v>
      </c>
    </row>
    <row r="3809" spans="1:7" ht="19.899999999999999" customHeight="1">
      <c r="A3809" s="515">
        <f t="shared" si="1160"/>
        <v>0</v>
      </c>
      <c r="B3809" s="478">
        <f t="shared" si="1161"/>
        <v>0</v>
      </c>
      <c r="C3809" s="469"/>
      <c r="D3809" s="475"/>
      <c r="E3809" s="472">
        <f t="shared" si="1162"/>
        <v>0</v>
      </c>
      <c r="F3809" s="475">
        <f>IF(C3809="",0,IFERROR(VLOOKUP(COUNTIF($A$1:A3809,"ANALISIS DE PRECIOS"),T_Rendimiento_Equipo,5,FALSE),0))</f>
        <v>0</v>
      </c>
      <c r="G3809" s="472">
        <f t="shared" si="1163"/>
        <v>0</v>
      </c>
    </row>
    <row r="3810" spans="1:7" ht="19.899999999999999" customHeight="1">
      <c r="A3810" s="515">
        <f t="shared" si="1160"/>
        <v>0</v>
      </c>
      <c r="B3810" s="478">
        <f t="shared" si="1161"/>
        <v>0</v>
      </c>
      <c r="C3810" s="469"/>
      <c r="D3810" s="475"/>
      <c r="E3810" s="472">
        <f t="shared" si="1162"/>
        <v>0</v>
      </c>
      <c r="F3810" s="475">
        <f>IF(C3810="",0,IFERROR(VLOOKUP(COUNTIF($A$1:A3810,"ANALISIS DE PRECIOS"),T_Rendimiento_Equipo,5,FALSE),0))</f>
        <v>0</v>
      </c>
      <c r="G3810" s="472">
        <f t="shared" si="1163"/>
        <v>0</v>
      </c>
    </row>
    <row r="3811" spans="1:7" ht="19.899999999999999" customHeight="1">
      <c r="A3811" s="515">
        <f t="shared" si="1160"/>
        <v>0</v>
      </c>
      <c r="B3811" s="478">
        <f t="shared" si="1161"/>
        <v>0</v>
      </c>
      <c r="C3811" s="469"/>
      <c r="D3811" s="475"/>
      <c r="E3811" s="472">
        <f t="shared" si="1162"/>
        <v>0</v>
      </c>
      <c r="F3811" s="475">
        <f>IF(C3811="",0,IFERROR(VLOOKUP(COUNTIF($A$1:A3811,"ANALISIS DE PRECIOS"),T_Rendimiento_Equipo,5,FALSE),0))</f>
        <v>0</v>
      </c>
      <c r="G3811" s="472">
        <f t="shared" si="1163"/>
        <v>0</v>
      </c>
    </row>
    <row r="3812" spans="1:7" ht="19.899999999999999" customHeight="1">
      <c r="A3812" s="515">
        <f t="shared" si="1160"/>
        <v>0</v>
      </c>
      <c r="B3812" s="478">
        <f t="shared" si="1161"/>
        <v>0</v>
      </c>
      <c r="C3812" s="469"/>
      <c r="D3812" s="483"/>
      <c r="E3812" s="472">
        <f t="shared" si="1162"/>
        <v>0</v>
      </c>
      <c r="F3812" s="475">
        <f>IF(C3812="",0,IFERROR(VLOOKUP(COUNTIF($A$1:A3812,"ANALISIS DE PRECIOS"),T_Rendimiento_Equipo,5,FALSE),0))</f>
        <v>0</v>
      </c>
      <c r="G3812" s="472">
        <f t="shared" si="1163"/>
        <v>0</v>
      </c>
    </row>
    <row r="3813" spans="1:7" ht="19.899999999999999" customHeight="1">
      <c r="A3813" s="515">
        <f t="shared" si="1160"/>
        <v>0</v>
      </c>
      <c r="B3813" s="478">
        <f t="shared" si="1161"/>
        <v>0</v>
      </c>
      <c r="C3813" s="478"/>
      <c r="D3813" s="484"/>
      <c r="E3813" s="472">
        <f t="shared" si="1162"/>
        <v>0</v>
      </c>
      <c r="F3813" s="475">
        <f>IF(C3813="",0,IFERROR(VLOOKUP(COUNTIF($A$1:A3813,"ANALISIS DE PRECIOS"),T_Rendimiento_Equipo,5,FALSE),0))</f>
        <v>0</v>
      </c>
      <c r="G3813" s="472">
        <f t="shared" si="1163"/>
        <v>0</v>
      </c>
    </row>
    <row r="3814" spans="1:7" ht="19.899999999999999" customHeight="1">
      <c r="A3814" s="516"/>
      <c r="B3814" s="459"/>
      <c r="C3814" s="163"/>
      <c r="D3814" s="459"/>
      <c r="E3814" s="460"/>
      <c r="F3814" s="650" t="s">
        <v>27</v>
      </c>
      <c r="G3814" s="518">
        <f>SUBTOTAL(9,G3807:G3813)</f>
        <v>0</v>
      </c>
    </row>
    <row r="3815" spans="1:7" ht="19.899999999999999" customHeight="1">
      <c r="A3815" s="513"/>
      <c r="B3815" s="163"/>
      <c r="C3815" s="455" t="s">
        <v>1013</v>
      </c>
      <c r="D3815" s="459"/>
      <c r="E3815" s="460"/>
      <c r="F3815" s="461"/>
      <c r="G3815" s="514"/>
    </row>
    <row r="3816" spans="1:7" ht="19.899999999999999" customHeight="1">
      <c r="A3816" s="677" t="s">
        <v>575</v>
      </c>
      <c r="B3816" s="678"/>
      <c r="C3816" s="679" t="s">
        <v>0</v>
      </c>
      <c r="D3816" s="679" t="s">
        <v>1865</v>
      </c>
      <c r="E3816" s="681" t="s">
        <v>23</v>
      </c>
      <c r="F3816" s="683" t="s">
        <v>24</v>
      </c>
      <c r="G3816" s="685" t="s">
        <v>25</v>
      </c>
    </row>
    <row r="3817" spans="1:7" ht="19.899999999999999" customHeight="1">
      <c r="A3817" s="477" t="s">
        <v>576</v>
      </c>
      <c r="B3817" s="477" t="s">
        <v>577</v>
      </c>
      <c r="C3817" s="680"/>
      <c r="D3817" s="680"/>
      <c r="E3817" s="682"/>
      <c r="F3817" s="684"/>
      <c r="G3817" s="686"/>
    </row>
    <row r="3818" spans="1:7" ht="19.899999999999999" customHeight="1">
      <c r="A3818" s="515">
        <f t="shared" ref="A3818:A3828" si="1164">IFERROR(VLOOKUP(C3818,T_Insumos,4,FALSE),0)</f>
        <v>0</v>
      </c>
      <c r="B3818" s="478">
        <f t="shared" ref="B3818:B3828" si="1165">IFERROR(VLOOKUP(C3818,T_Insumos,5,FALSE),0)</f>
        <v>0</v>
      </c>
      <c r="C3818" s="478"/>
      <c r="D3818" s="526">
        <f t="shared" ref="D3818:D3828" si="1166">IFERROR(VLOOKUP(C3818,T_Insumos,2,FALSE),0)</f>
        <v>0</v>
      </c>
      <c r="E3818" s="470"/>
      <c r="F3818" s="472">
        <f t="shared" ref="F3818:F3828" si="1167">IFERROR(VLOOKUP(C3818,T_Insumos,3,FALSE),0)</f>
        <v>0</v>
      </c>
      <c r="G3818" s="472">
        <f>ROUND(E3818*F3818,2)</f>
        <v>0</v>
      </c>
    </row>
    <row r="3819" spans="1:7" ht="19.899999999999999" customHeight="1">
      <c r="A3819" s="515">
        <f t="shared" si="1164"/>
        <v>0</v>
      </c>
      <c r="B3819" s="478">
        <f t="shared" si="1165"/>
        <v>0</v>
      </c>
      <c r="C3819" s="478"/>
      <c r="D3819" s="526">
        <f t="shared" si="1166"/>
        <v>0</v>
      </c>
      <c r="E3819" s="470"/>
      <c r="F3819" s="472">
        <f t="shared" si="1167"/>
        <v>0</v>
      </c>
      <c r="G3819" s="472">
        <f t="shared" ref="G3819:G3828" si="1168">ROUND(E3819*F3819,2)</f>
        <v>0</v>
      </c>
    </row>
    <row r="3820" spans="1:7" ht="19.899999999999999" customHeight="1">
      <c r="A3820" s="515">
        <f t="shared" si="1164"/>
        <v>0</v>
      </c>
      <c r="B3820" s="478">
        <f t="shared" si="1165"/>
        <v>0</v>
      </c>
      <c r="C3820" s="478"/>
      <c r="D3820" s="526">
        <f t="shared" si="1166"/>
        <v>0</v>
      </c>
      <c r="E3820" s="470"/>
      <c r="F3820" s="472">
        <f t="shared" si="1167"/>
        <v>0</v>
      </c>
      <c r="G3820" s="472">
        <f t="shared" si="1168"/>
        <v>0</v>
      </c>
    </row>
    <row r="3821" spans="1:7" ht="19.899999999999999" customHeight="1">
      <c r="A3821" s="515">
        <f t="shared" si="1164"/>
        <v>0</v>
      </c>
      <c r="B3821" s="478">
        <f t="shared" si="1165"/>
        <v>0</v>
      </c>
      <c r="C3821" s="478"/>
      <c r="D3821" s="526">
        <f t="shared" si="1166"/>
        <v>0</v>
      </c>
      <c r="E3821" s="470"/>
      <c r="F3821" s="472">
        <f t="shared" si="1167"/>
        <v>0</v>
      </c>
      <c r="G3821" s="472">
        <f t="shared" si="1168"/>
        <v>0</v>
      </c>
    </row>
    <row r="3822" spans="1:7" ht="19.899999999999999" customHeight="1">
      <c r="A3822" s="515">
        <f t="shared" si="1164"/>
        <v>0</v>
      </c>
      <c r="B3822" s="478">
        <f t="shared" si="1165"/>
        <v>0</v>
      </c>
      <c r="C3822" s="478"/>
      <c r="D3822" s="526">
        <f t="shared" si="1166"/>
        <v>0</v>
      </c>
      <c r="E3822" s="470"/>
      <c r="F3822" s="472">
        <f t="shared" si="1167"/>
        <v>0</v>
      </c>
      <c r="G3822" s="472">
        <f t="shared" si="1168"/>
        <v>0</v>
      </c>
    </row>
    <row r="3823" spans="1:7" ht="19.899999999999999" customHeight="1">
      <c r="A3823" s="515">
        <f t="shared" si="1164"/>
        <v>0</v>
      </c>
      <c r="B3823" s="478">
        <f t="shared" si="1165"/>
        <v>0</v>
      </c>
      <c r="C3823" s="478"/>
      <c r="D3823" s="526">
        <f t="shared" si="1166"/>
        <v>0</v>
      </c>
      <c r="E3823" s="470"/>
      <c r="F3823" s="472">
        <f t="shared" si="1167"/>
        <v>0</v>
      </c>
      <c r="G3823" s="472">
        <f t="shared" si="1168"/>
        <v>0</v>
      </c>
    </row>
    <row r="3824" spans="1:7" ht="19.899999999999999" customHeight="1">
      <c r="A3824" s="515">
        <f t="shared" si="1164"/>
        <v>0</v>
      </c>
      <c r="B3824" s="478">
        <f t="shared" si="1165"/>
        <v>0</v>
      </c>
      <c r="C3824" s="478"/>
      <c r="D3824" s="526">
        <f t="shared" si="1166"/>
        <v>0</v>
      </c>
      <c r="E3824" s="470"/>
      <c r="F3824" s="472">
        <f t="shared" si="1167"/>
        <v>0</v>
      </c>
      <c r="G3824" s="472">
        <f t="shared" si="1168"/>
        <v>0</v>
      </c>
    </row>
    <row r="3825" spans="1:7" ht="19.899999999999999" customHeight="1">
      <c r="A3825" s="515">
        <f t="shared" si="1164"/>
        <v>0</v>
      </c>
      <c r="B3825" s="478">
        <f t="shared" si="1165"/>
        <v>0</v>
      </c>
      <c r="C3825" s="478"/>
      <c r="D3825" s="526">
        <f t="shared" si="1166"/>
        <v>0</v>
      </c>
      <c r="E3825" s="470"/>
      <c r="F3825" s="472">
        <f t="shared" si="1167"/>
        <v>0</v>
      </c>
      <c r="G3825" s="472">
        <f t="shared" si="1168"/>
        <v>0</v>
      </c>
    </row>
    <row r="3826" spans="1:7" ht="19.899999999999999" customHeight="1">
      <c r="A3826" s="515">
        <f t="shared" si="1164"/>
        <v>0</v>
      </c>
      <c r="B3826" s="478">
        <f t="shared" si="1165"/>
        <v>0</v>
      </c>
      <c r="C3826" s="478"/>
      <c r="D3826" s="526">
        <f t="shared" si="1166"/>
        <v>0</v>
      </c>
      <c r="E3826" s="470"/>
      <c r="F3826" s="472">
        <f t="shared" si="1167"/>
        <v>0</v>
      </c>
      <c r="G3826" s="472">
        <f t="shared" si="1168"/>
        <v>0</v>
      </c>
    </row>
    <row r="3827" spans="1:7" ht="19.899999999999999" customHeight="1">
      <c r="A3827" s="515">
        <f t="shared" si="1164"/>
        <v>0</v>
      </c>
      <c r="B3827" s="478">
        <f t="shared" si="1165"/>
        <v>0</v>
      </c>
      <c r="C3827" s="478"/>
      <c r="D3827" s="526">
        <f t="shared" si="1166"/>
        <v>0</v>
      </c>
      <c r="E3827" s="470"/>
      <c r="F3827" s="472">
        <f t="shared" si="1167"/>
        <v>0</v>
      </c>
      <c r="G3827" s="472">
        <f t="shared" si="1168"/>
        <v>0</v>
      </c>
    </row>
    <row r="3828" spans="1:7" ht="19.899999999999999" customHeight="1">
      <c r="A3828" s="515">
        <f t="shared" si="1164"/>
        <v>0</v>
      </c>
      <c r="B3828" s="478">
        <f t="shared" si="1165"/>
        <v>0</v>
      </c>
      <c r="C3828" s="478"/>
      <c r="D3828" s="526">
        <f t="shared" si="1166"/>
        <v>0</v>
      </c>
      <c r="E3828" s="470"/>
      <c r="F3828" s="472">
        <f t="shared" si="1167"/>
        <v>0</v>
      </c>
      <c r="G3828" s="472">
        <f t="shared" si="1168"/>
        <v>0</v>
      </c>
    </row>
    <row r="3829" spans="1:7" ht="19.899999999999999" customHeight="1">
      <c r="A3829" s="513"/>
      <c r="B3829" s="163"/>
      <c r="C3829" s="163"/>
      <c r="D3829" s="459"/>
      <c r="E3829" s="460"/>
      <c r="F3829" s="650" t="s">
        <v>28</v>
      </c>
      <c r="G3829" s="518">
        <f>SUBTOTAL(9,G3818:G3828)</f>
        <v>0</v>
      </c>
    </row>
    <row r="3830" spans="1:7" ht="19.899999999999999" customHeight="1">
      <c r="A3830" s="513"/>
      <c r="B3830" s="163"/>
      <c r="C3830" s="455" t="s">
        <v>1014</v>
      </c>
      <c r="D3830" s="459"/>
      <c r="E3830" s="460"/>
      <c r="F3830" s="461"/>
      <c r="G3830" s="514"/>
    </row>
    <row r="3831" spans="1:7" ht="19.899999999999999" customHeight="1">
      <c r="A3831" s="677" t="s">
        <v>575</v>
      </c>
      <c r="B3831" s="678"/>
      <c r="C3831" s="679" t="s">
        <v>0</v>
      </c>
      <c r="D3831" s="679" t="s">
        <v>1865</v>
      </c>
      <c r="E3831" s="681" t="s">
        <v>23</v>
      </c>
      <c r="F3831" s="683" t="s">
        <v>24</v>
      </c>
      <c r="G3831" s="685" t="s">
        <v>25</v>
      </c>
    </row>
    <row r="3832" spans="1:7" ht="19.899999999999999" customHeight="1">
      <c r="A3832" s="477" t="s">
        <v>576</v>
      </c>
      <c r="B3832" s="477" t="s">
        <v>577</v>
      </c>
      <c r="C3832" s="680"/>
      <c r="D3832" s="680"/>
      <c r="E3832" s="682"/>
      <c r="F3832" s="684"/>
      <c r="G3832" s="686"/>
    </row>
    <row r="3833" spans="1:7" ht="19.899999999999999" customHeight="1">
      <c r="A3833" s="515">
        <f>IFERROR(VLOOKUP(C3833,T_Insumos,4,FALSE),0)</f>
        <v>0</v>
      </c>
      <c r="B3833" s="478">
        <f>IFERROR(VLOOKUP(C3833,T_Insumos,5,FALSE),0)</f>
        <v>0</v>
      </c>
      <c r="C3833" s="469"/>
      <c r="D3833" s="526">
        <f>IF(C3833=0,0,"$/tnkm")</f>
        <v>0</v>
      </c>
      <c r="E3833" s="470"/>
      <c r="F3833" s="472">
        <f>IFERROR(VLOOKUP(C3833,T_Insumos,3,FALSE),0)</f>
        <v>0</v>
      </c>
      <c r="G3833" s="472">
        <f>ROUND(E3833*F3833,2)</f>
        <v>0</v>
      </c>
    </row>
    <row r="3834" spans="1:7" ht="19.899999999999999" customHeight="1">
      <c r="A3834" s="515">
        <f>IFERROR(VLOOKUP(C3834,T_Insumos,4,FALSE),0)</f>
        <v>0</v>
      </c>
      <c r="B3834" s="478">
        <f>IFERROR(VLOOKUP(C3834,T_Insumos,5,FALSE),0)</f>
        <v>0</v>
      </c>
      <c r="C3834" s="469"/>
      <c r="D3834" s="526">
        <f>IF(C3834=0,0,"$/tnkm")</f>
        <v>0</v>
      </c>
      <c r="E3834" s="486"/>
      <c r="F3834" s="472">
        <f>IFERROR(VLOOKUP(C3834,T_Insumos,3,FALSE),0)</f>
        <v>0</v>
      </c>
      <c r="G3834" s="472">
        <f t="shared" ref="G3834" si="1169">ROUND(E3834*F3834,2)</f>
        <v>0</v>
      </c>
    </row>
    <row r="3835" spans="1:7" ht="19.899999999999999" customHeight="1">
      <c r="A3835" s="513"/>
      <c r="B3835" s="163"/>
      <c r="C3835" s="163"/>
      <c r="D3835" s="459"/>
      <c r="E3835" s="460"/>
      <c r="F3835" s="650" t="s">
        <v>1015</v>
      </c>
      <c r="G3835" s="518">
        <f>SUBTOTAL(9,G3833:G3834)</f>
        <v>0</v>
      </c>
    </row>
    <row r="3836" spans="1:7" ht="19.899999999999999" customHeight="1">
      <c r="A3836" s="516"/>
      <c r="B3836" s="459"/>
      <c r="C3836" s="163"/>
      <c r="D3836" s="459"/>
      <c r="E3836" s="460"/>
      <c r="F3836" s="461"/>
      <c r="G3836" s="514"/>
    </row>
    <row r="3837" spans="1:7" ht="19.899999999999999" customHeight="1">
      <c r="A3837" s="574" t="str">
        <f>B3771</f>
        <v>6.2.12</v>
      </c>
      <c r="B3837" s="571" t="str">
        <f ca="1">C3771</f>
        <v>Juntas de dilatacion</v>
      </c>
      <c r="C3837" s="459"/>
      <c r="D3837" s="459" t="s">
        <v>1831</v>
      </c>
      <c r="E3837" s="572"/>
      <c r="F3837" s="573" t="str">
        <f ca="1">"$/"&amp;G3771</f>
        <v>$/m</v>
      </c>
      <c r="G3837" s="523">
        <f>SUBTOTAL(9,G3794:G3836)</f>
        <v>0</v>
      </c>
    </row>
    <row r="3838" spans="1:7" ht="19.899999999999999" customHeight="1">
      <c r="A3838" s="519"/>
      <c r="B3838" s="520"/>
      <c r="C3838" s="521"/>
      <c r="D3838" s="521" t="s">
        <v>2041</v>
      </c>
      <c r="E3838" s="522"/>
      <c r="F3838" s="575" t="str">
        <f ca="1">"$/"&amp;G3771</f>
        <v>$/m</v>
      </c>
      <c r="G3838" s="523">
        <f>ROUND(G3837*Coeficiente_Paso,2)</f>
        <v>0</v>
      </c>
    </row>
    <row r="3839" spans="1:7" ht="19.899999999999999" customHeight="1">
      <c r="A3839" s="163"/>
      <c r="B3839" s="163"/>
      <c r="C3839" s="163"/>
      <c r="D3839" s="163"/>
      <c r="E3839" s="163"/>
      <c r="F3839" s="163"/>
      <c r="G3839" s="163"/>
    </row>
    <row r="3840" spans="1:7" ht="19.899999999999999" customHeight="1">
      <c r="A3840" s="687" t="s">
        <v>30</v>
      </c>
      <c r="B3840" s="688"/>
      <c r="C3840" s="688"/>
      <c r="D3840" s="688"/>
      <c r="E3840" s="688"/>
      <c r="F3840" s="688"/>
      <c r="G3840" s="689"/>
    </row>
    <row r="3841" spans="1:7" ht="19.899999999999999" customHeight="1">
      <c r="A3841" s="502" t="s">
        <v>710</v>
      </c>
      <c r="B3841" s="453" t="str">
        <f>Comitente</f>
        <v>DEPARTAMENTO DE HIDRAULICA</v>
      </c>
      <c r="C3841" s="454"/>
      <c r="D3841" s="455"/>
      <c r="E3841" s="455"/>
      <c r="F3841" s="456"/>
      <c r="G3841" s="503"/>
    </row>
    <row r="3842" spans="1:7" ht="19.899999999999999" customHeight="1">
      <c r="A3842" s="502" t="s">
        <v>711</v>
      </c>
      <c r="B3842" s="453">
        <f>Contratista</f>
        <v>0</v>
      </c>
      <c r="C3842" s="457"/>
      <c r="D3842" s="457"/>
      <c r="E3842" s="457"/>
      <c r="F3842" s="453"/>
      <c r="G3842" s="504"/>
    </row>
    <row r="3843" spans="1:7" ht="19.899999999999999" customHeight="1">
      <c r="A3843" s="502" t="s">
        <v>20</v>
      </c>
      <c r="B3843" s="453" t="str">
        <f>Obra</f>
        <v>MEJORA DE LA RED DE RIEGO DEL VALLE DE JÁCHAL</v>
      </c>
      <c r="C3843" s="457"/>
      <c r="D3843" s="457"/>
      <c r="E3843" s="457"/>
      <c r="F3843" s="453" t="s">
        <v>31</v>
      </c>
      <c r="G3843" s="504" t="str">
        <f>Fecha_Base</f>
        <v>XX/07/2020</v>
      </c>
    </row>
    <row r="3844" spans="1:7" ht="19.899999999999999" customHeight="1">
      <c r="A3844" s="505" t="s">
        <v>709</v>
      </c>
      <c r="B3844" s="458" t="str">
        <f>Ubicación</f>
        <v>JACHAL</v>
      </c>
      <c r="C3844" s="458"/>
      <c r="D3844" s="459"/>
      <c r="E3844" s="460"/>
      <c r="F3844" s="461"/>
      <c r="G3844" s="506"/>
    </row>
    <row r="3845" spans="1:7" ht="19.899999999999999" customHeight="1">
      <c r="A3845" s="505" t="s">
        <v>32</v>
      </c>
      <c r="B3845" s="462">
        <f>IFERROR(VALUE(LEFT(B3846,FIND(".",B3846)-1)),"")</f>
        <v>6</v>
      </c>
      <c r="C3845" s="163" t="str">
        <f ca="1">IFERROR(VLOOKUP(B3845,T_Computo_Presupuesto,2,FALSE),0)</f>
        <v>CANAL DEL NORTE</v>
      </c>
      <c r="D3845" s="163"/>
      <c r="E3845" s="460"/>
      <c r="F3845" s="461"/>
      <c r="G3845" s="506"/>
    </row>
    <row r="3846" spans="1:7" ht="19.899999999999999" customHeight="1">
      <c r="A3846" s="505" t="s">
        <v>21</v>
      </c>
      <c r="B3846" s="463" t="str">
        <f>IFERROR(VLOOKUP(COUNTIF($A$1:A3846,"ANALISIS DE PRECIOS"),T_NumeroItem,2,FALSE),"")</f>
        <v>6.2.13</v>
      </c>
      <c r="C3846" s="690" t="str">
        <f ca="1">IFERROR(VLOOKUP(B3846,T_Computo_Presupuesto,2,FALSE),0)</f>
        <v>Hormigón ciclopeo</v>
      </c>
      <c r="D3846" s="690"/>
      <c r="E3846" s="690"/>
      <c r="F3846" s="458" t="s">
        <v>22</v>
      </c>
      <c r="G3846" s="507" t="str">
        <f ca="1">IFERROR(VLOOKUP(B3846,T_Computo_Presupuesto,4,FALSE),0)</f>
        <v>m3</v>
      </c>
    </row>
    <row r="3847" spans="1:7" ht="19.899999999999999" customHeight="1">
      <c r="A3847" s="505"/>
      <c r="B3847" s="458"/>
      <c r="C3847" s="163"/>
      <c r="D3847" s="459"/>
      <c r="E3847" s="460"/>
      <c r="F3847" s="163"/>
      <c r="G3847" s="508"/>
    </row>
    <row r="3848" spans="1:7" ht="19.899999999999999" customHeight="1">
      <c r="A3848" s="509"/>
      <c r="B3848" s="464"/>
      <c r="C3848" s="465" t="s">
        <v>998</v>
      </c>
      <c r="D3848" s="464"/>
      <c r="E3848" s="464"/>
      <c r="F3848" s="464"/>
      <c r="G3848" s="510"/>
    </row>
    <row r="3849" spans="1:7" ht="19.899999999999999" customHeight="1">
      <c r="A3849" s="505"/>
      <c r="B3849" s="466"/>
      <c r="C3849" s="163"/>
      <c r="D3849" s="459"/>
      <c r="E3849" s="460"/>
      <c r="F3849" s="458"/>
      <c r="G3849" s="507"/>
    </row>
    <row r="3850" spans="1:7" ht="19.899999999999999" customHeight="1">
      <c r="A3850" s="505"/>
      <c r="B3850" s="466"/>
      <c r="C3850" s="467" t="s">
        <v>999</v>
      </c>
      <c r="D3850" s="468" t="s">
        <v>23</v>
      </c>
      <c r="E3850" s="468" t="s">
        <v>1000</v>
      </c>
      <c r="F3850" s="468" t="s">
        <v>1001</v>
      </c>
      <c r="G3850" s="467" t="s">
        <v>1002</v>
      </c>
    </row>
    <row r="3851" spans="1:7" ht="19.899999999999999" customHeight="1">
      <c r="A3851" s="505"/>
      <c r="B3851" s="466"/>
      <c r="C3851" s="469"/>
      <c r="D3851" s="470"/>
      <c r="E3851" s="471">
        <f t="shared" ref="E3851:E3860" si="1170">IFERROR(VLOOKUP(C3851,T_Equipos,4,FALSE),0)</f>
        <v>0</v>
      </c>
      <c r="F3851" s="472">
        <f t="shared" ref="F3851:F3860" si="1171">IFERROR(VLOOKUP(C3851,T_Equipos,5,FALSE),0)</f>
        <v>0</v>
      </c>
      <c r="G3851" s="472">
        <f>ROUND(D3851*F3851,2)</f>
        <v>0</v>
      </c>
    </row>
    <row r="3852" spans="1:7" ht="19.899999999999999" customHeight="1">
      <c r="A3852" s="505"/>
      <c r="B3852" s="466"/>
      <c r="C3852" s="469"/>
      <c r="D3852" s="470"/>
      <c r="E3852" s="471">
        <f t="shared" si="1170"/>
        <v>0</v>
      </c>
      <c r="F3852" s="472">
        <f t="shared" si="1171"/>
        <v>0</v>
      </c>
      <c r="G3852" s="472">
        <f>ROUND(D3852*F3852,2)</f>
        <v>0</v>
      </c>
    </row>
    <row r="3853" spans="1:7" ht="19.899999999999999" customHeight="1">
      <c r="A3853" s="505"/>
      <c r="B3853" s="466"/>
      <c r="C3853" s="469"/>
      <c r="D3853" s="470"/>
      <c r="E3853" s="471">
        <f t="shared" si="1170"/>
        <v>0</v>
      </c>
      <c r="F3853" s="472">
        <f t="shared" si="1171"/>
        <v>0</v>
      </c>
      <c r="G3853" s="472">
        <f>ROUND(D3853*F3853,2)</f>
        <v>0</v>
      </c>
    </row>
    <row r="3854" spans="1:7" ht="19.899999999999999" customHeight="1">
      <c r="A3854" s="505"/>
      <c r="B3854" s="466"/>
      <c r="C3854" s="469"/>
      <c r="D3854" s="470"/>
      <c r="E3854" s="471">
        <f t="shared" si="1170"/>
        <v>0</v>
      </c>
      <c r="F3854" s="472">
        <f t="shared" si="1171"/>
        <v>0</v>
      </c>
      <c r="G3854" s="472">
        <f>ROUND(D3854*F3854,2)</f>
        <v>0</v>
      </c>
    </row>
    <row r="3855" spans="1:7" ht="19.899999999999999" customHeight="1">
      <c r="A3855" s="505"/>
      <c r="B3855" s="466"/>
      <c r="C3855" s="469"/>
      <c r="D3855" s="470"/>
      <c r="E3855" s="471">
        <f t="shared" si="1170"/>
        <v>0</v>
      </c>
      <c r="F3855" s="472">
        <f t="shared" si="1171"/>
        <v>0</v>
      </c>
      <c r="G3855" s="472">
        <f t="shared" ref="G3855:G3860" si="1172">ROUND(D3855*F3855,2)</f>
        <v>0</v>
      </c>
    </row>
    <row r="3856" spans="1:7" ht="19.899999999999999" customHeight="1">
      <c r="A3856" s="505"/>
      <c r="B3856" s="466"/>
      <c r="C3856" s="469"/>
      <c r="D3856" s="470"/>
      <c r="E3856" s="471">
        <f t="shared" si="1170"/>
        <v>0</v>
      </c>
      <c r="F3856" s="472">
        <f t="shared" si="1171"/>
        <v>0</v>
      </c>
      <c r="G3856" s="472">
        <f t="shared" si="1172"/>
        <v>0</v>
      </c>
    </row>
    <row r="3857" spans="1:7" ht="19.899999999999999" customHeight="1">
      <c r="A3857" s="505"/>
      <c r="B3857" s="466"/>
      <c r="C3857" s="469"/>
      <c r="D3857" s="470"/>
      <c r="E3857" s="471">
        <f t="shared" si="1170"/>
        <v>0</v>
      </c>
      <c r="F3857" s="472">
        <f t="shared" si="1171"/>
        <v>0</v>
      </c>
      <c r="G3857" s="472">
        <f t="shared" si="1172"/>
        <v>0</v>
      </c>
    </row>
    <row r="3858" spans="1:7" ht="19.899999999999999" customHeight="1">
      <c r="A3858" s="505"/>
      <c r="B3858" s="466"/>
      <c r="C3858" s="469"/>
      <c r="D3858" s="470"/>
      <c r="E3858" s="471">
        <f t="shared" si="1170"/>
        <v>0</v>
      </c>
      <c r="F3858" s="472">
        <f t="shared" si="1171"/>
        <v>0</v>
      </c>
      <c r="G3858" s="472">
        <f t="shared" si="1172"/>
        <v>0</v>
      </c>
    </row>
    <row r="3859" spans="1:7" ht="19.899999999999999" customHeight="1">
      <c r="A3859" s="505"/>
      <c r="B3859" s="466"/>
      <c r="C3859" s="469"/>
      <c r="D3859" s="470"/>
      <c r="E3859" s="471">
        <f t="shared" si="1170"/>
        <v>0</v>
      </c>
      <c r="F3859" s="472">
        <f t="shared" si="1171"/>
        <v>0</v>
      </c>
      <c r="G3859" s="472">
        <f t="shared" si="1172"/>
        <v>0</v>
      </c>
    </row>
    <row r="3860" spans="1:7" ht="19.899999999999999" customHeight="1">
      <c r="A3860" s="505"/>
      <c r="B3860" s="466"/>
      <c r="C3860" s="469"/>
      <c r="D3860" s="470"/>
      <c r="E3860" s="471">
        <f t="shared" si="1170"/>
        <v>0</v>
      </c>
      <c r="F3860" s="472">
        <f t="shared" si="1171"/>
        <v>0</v>
      </c>
      <c r="G3860" s="472">
        <f t="shared" si="1172"/>
        <v>0</v>
      </c>
    </row>
    <row r="3861" spans="1:7" ht="19.899999999999999" customHeight="1">
      <c r="A3861" s="505"/>
      <c r="B3861" s="466"/>
      <c r="C3861" s="163"/>
      <c r="D3861" s="163"/>
      <c r="E3861" s="473"/>
      <c r="F3861" s="458"/>
      <c r="G3861" s="507"/>
    </row>
    <row r="3862" spans="1:7" ht="19.899999999999999" customHeight="1">
      <c r="A3862" s="505"/>
      <c r="B3862" s="163"/>
      <c r="C3862" s="455" t="s">
        <v>1003</v>
      </c>
      <c r="D3862" s="458" t="s">
        <v>1000</v>
      </c>
      <c r="E3862" s="524">
        <f>SUMPRODUCT(D3851:D3860,E3851:E3860)</f>
        <v>0</v>
      </c>
      <c r="F3862" s="458" t="s">
        <v>1004</v>
      </c>
      <c r="G3862" s="525">
        <f>SUM(G3851:G3860)</f>
        <v>0</v>
      </c>
    </row>
    <row r="3863" spans="1:7" ht="19.899999999999999" customHeight="1">
      <c r="A3863" s="505"/>
      <c r="B3863" s="466"/>
      <c r="C3863" s="474"/>
      <c r="D3863" s="473"/>
      <c r="E3863" s="460"/>
      <c r="F3863" s="458"/>
      <c r="G3863" s="511"/>
    </row>
    <row r="3864" spans="1:7" ht="19.899999999999999" customHeight="1">
      <c r="A3864" s="512"/>
      <c r="B3864" s="466"/>
      <c r="C3864" s="458" t="s">
        <v>1005</v>
      </c>
      <c r="D3864" s="475"/>
      <c r="E3864" s="476" t="str">
        <f ca="1">G3846&amp;"/día"</f>
        <v>m3/día</v>
      </c>
      <c r="F3864" s="452"/>
      <c r="G3864" s="507"/>
    </row>
    <row r="3865" spans="1:7" ht="19.899999999999999" customHeight="1">
      <c r="A3865" s="505"/>
      <c r="B3865" s="466"/>
      <c r="C3865" s="163"/>
      <c r="D3865" s="459"/>
      <c r="E3865" s="460"/>
      <c r="F3865" s="458"/>
      <c r="G3865" s="507"/>
    </row>
    <row r="3866" spans="1:7" ht="19.899999999999999" customHeight="1">
      <c r="A3866" s="677" t="s">
        <v>575</v>
      </c>
      <c r="B3866" s="678"/>
      <c r="C3866" s="679" t="s">
        <v>0</v>
      </c>
      <c r="D3866" s="691" t="s">
        <v>1864</v>
      </c>
      <c r="E3866" s="691" t="s">
        <v>1863</v>
      </c>
      <c r="F3866" s="683" t="s">
        <v>1006</v>
      </c>
      <c r="G3866" s="685" t="s">
        <v>25</v>
      </c>
    </row>
    <row r="3867" spans="1:7" ht="19.899999999999999" customHeight="1">
      <c r="A3867" s="477" t="s">
        <v>576</v>
      </c>
      <c r="B3867" s="477" t="s">
        <v>577</v>
      </c>
      <c r="C3867" s="680"/>
      <c r="D3867" s="692"/>
      <c r="E3867" s="682"/>
      <c r="F3867" s="684"/>
      <c r="G3867" s="686"/>
    </row>
    <row r="3868" spans="1:7" ht="19.899999999999999" customHeight="1">
      <c r="A3868" s="513"/>
      <c r="B3868" s="163"/>
      <c r="C3868" s="455" t="s">
        <v>1007</v>
      </c>
      <c r="D3868" s="460"/>
      <c r="E3868" s="460"/>
      <c r="F3868" s="163"/>
      <c r="G3868" s="514"/>
    </row>
    <row r="3869" spans="1:7" ht="19.899999999999999" customHeight="1">
      <c r="A3869" s="515">
        <f t="shared" ref="A3869:A3877" si="1173">IFERROR(VLOOKUP(C3869,T_Insumos,4,FALSE),0)</f>
        <v>0</v>
      </c>
      <c r="B3869" s="478">
        <f t="shared" ref="B3869:B3877" si="1174">IFERROR(VLOOKUP(C3869,T_Insumos,5,FALSE),0)</f>
        <v>0</v>
      </c>
      <c r="C3869" s="469"/>
      <c r="D3869" s="479">
        <f t="shared" ref="D3869:D3877" si="1175">IFERROR(VLOOKUP(C3869,T_Insumos,3,FALSE),0)</f>
        <v>0</v>
      </c>
      <c r="E3869" s="472">
        <f>D3869*$G$23</f>
        <v>0</v>
      </c>
      <c r="F3869" s="475">
        <f>IF(C3869="",0,IFERROR(VLOOKUP(COUNTIF($A$1:A3869,"ANALISIS DE PRECIOS"),T_Rendimiento_Equipo,5,FALSE),0))</f>
        <v>0</v>
      </c>
      <c r="G3869" s="472">
        <f>IFERROR(ROUND(E3869/F3869,2),0)</f>
        <v>0</v>
      </c>
    </row>
    <row r="3870" spans="1:7" ht="19.899999999999999" customHeight="1">
      <c r="A3870" s="515">
        <f t="shared" si="1173"/>
        <v>0</v>
      </c>
      <c r="B3870" s="478">
        <f t="shared" si="1174"/>
        <v>0</v>
      </c>
      <c r="C3870" s="469"/>
      <c r="D3870" s="479">
        <f t="shared" si="1175"/>
        <v>0</v>
      </c>
      <c r="E3870" s="472">
        <f t="shared" ref="E3870:E3877" si="1176">D3870*$G$23</f>
        <v>0</v>
      </c>
      <c r="F3870" s="475">
        <f>IF(C3870="",0,IFERROR(VLOOKUP(COUNTIF($A$1:A3870,"ANALISIS DE PRECIOS"),T_Rendimiento_Equipo,5,FALSE),0))</f>
        <v>0</v>
      </c>
      <c r="G3870" s="472">
        <f t="shared" ref="G3870:G3877" si="1177">IFERROR(ROUND(E3870/F3870,2),0)</f>
        <v>0</v>
      </c>
    </row>
    <row r="3871" spans="1:7" ht="19.899999999999999" customHeight="1">
      <c r="A3871" s="515">
        <f t="shared" si="1173"/>
        <v>0</v>
      </c>
      <c r="B3871" s="478">
        <f t="shared" si="1174"/>
        <v>0</v>
      </c>
      <c r="C3871" s="480"/>
      <c r="D3871" s="479">
        <f t="shared" si="1175"/>
        <v>0</v>
      </c>
      <c r="E3871" s="472">
        <f t="shared" si="1176"/>
        <v>0</v>
      </c>
      <c r="F3871" s="475">
        <f>IF(C3871="",0,IFERROR(VLOOKUP(COUNTIF($A$1:A3871,"ANALISIS DE PRECIOS"),T_Rendimiento_Equipo,5,FALSE),0))</f>
        <v>0</v>
      </c>
      <c r="G3871" s="472">
        <f t="shared" si="1177"/>
        <v>0</v>
      </c>
    </row>
    <row r="3872" spans="1:7" ht="19.899999999999999" customHeight="1">
      <c r="A3872" s="515">
        <f t="shared" si="1173"/>
        <v>0</v>
      </c>
      <c r="B3872" s="478">
        <f t="shared" si="1174"/>
        <v>0</v>
      </c>
      <c r="C3872" s="480"/>
      <c r="D3872" s="479">
        <f t="shared" si="1175"/>
        <v>0</v>
      </c>
      <c r="E3872" s="472">
        <f t="shared" si="1176"/>
        <v>0</v>
      </c>
      <c r="F3872" s="475">
        <f>IF(C3872="",0,IFERROR(VLOOKUP(COUNTIF($A$1:A3872,"ANALISIS DE PRECIOS"),T_Rendimiento_Equipo,5,FALSE),0))</f>
        <v>0</v>
      </c>
      <c r="G3872" s="472">
        <f t="shared" si="1177"/>
        <v>0</v>
      </c>
    </row>
    <row r="3873" spans="1:7" ht="19.899999999999999" customHeight="1">
      <c r="A3873" s="515">
        <f t="shared" si="1173"/>
        <v>0</v>
      </c>
      <c r="B3873" s="478">
        <f t="shared" si="1174"/>
        <v>0</v>
      </c>
      <c r="C3873" s="480"/>
      <c r="D3873" s="479">
        <f t="shared" si="1175"/>
        <v>0</v>
      </c>
      <c r="E3873" s="472">
        <f t="shared" si="1176"/>
        <v>0</v>
      </c>
      <c r="F3873" s="475">
        <f>IF(C3873="",0,IFERROR(VLOOKUP(COUNTIF($A$1:A3873,"ANALISIS DE PRECIOS"),T_Rendimiento_Equipo,5,FALSE),0))</f>
        <v>0</v>
      </c>
      <c r="G3873" s="472">
        <f t="shared" si="1177"/>
        <v>0</v>
      </c>
    </row>
    <row r="3874" spans="1:7" ht="19.899999999999999" customHeight="1">
      <c r="A3874" s="515">
        <f t="shared" si="1173"/>
        <v>0</v>
      </c>
      <c r="B3874" s="478">
        <f t="shared" si="1174"/>
        <v>0</v>
      </c>
      <c r="C3874" s="480"/>
      <c r="D3874" s="479">
        <f t="shared" si="1175"/>
        <v>0</v>
      </c>
      <c r="E3874" s="472">
        <f t="shared" si="1176"/>
        <v>0</v>
      </c>
      <c r="F3874" s="475">
        <f>IF(C3874="",0,IFERROR(VLOOKUP(COUNTIF($A$1:A3874,"ANALISIS DE PRECIOS"),T_Rendimiento_Equipo,5,FALSE),0))</f>
        <v>0</v>
      </c>
      <c r="G3874" s="472">
        <f t="shared" si="1177"/>
        <v>0</v>
      </c>
    </row>
    <row r="3875" spans="1:7" ht="19.899999999999999" customHeight="1">
      <c r="A3875" s="515">
        <f t="shared" si="1173"/>
        <v>0</v>
      </c>
      <c r="B3875" s="478">
        <f t="shared" si="1174"/>
        <v>0</v>
      </c>
      <c r="C3875" s="480"/>
      <c r="D3875" s="479">
        <f t="shared" si="1175"/>
        <v>0</v>
      </c>
      <c r="E3875" s="472">
        <f t="shared" si="1176"/>
        <v>0</v>
      </c>
      <c r="F3875" s="475">
        <f>IF(C3875="",0,IFERROR(VLOOKUP(COUNTIF($A$1:A3875,"ANALISIS DE PRECIOS"),T_Rendimiento_Equipo,5,FALSE),0))</f>
        <v>0</v>
      </c>
      <c r="G3875" s="472">
        <f t="shared" si="1177"/>
        <v>0</v>
      </c>
    </row>
    <row r="3876" spans="1:7" ht="19.899999999999999" customHeight="1">
      <c r="A3876" s="515">
        <f t="shared" si="1173"/>
        <v>0</v>
      </c>
      <c r="B3876" s="478">
        <f t="shared" si="1174"/>
        <v>0</v>
      </c>
      <c r="C3876" s="480"/>
      <c r="D3876" s="479">
        <f t="shared" si="1175"/>
        <v>0</v>
      </c>
      <c r="E3876" s="472">
        <f t="shared" si="1176"/>
        <v>0</v>
      </c>
      <c r="F3876" s="475">
        <f>IF(C3876="",0,IFERROR(VLOOKUP(COUNTIF($A$1:A3876,"ANALISIS DE PRECIOS"),T_Rendimiento_Equipo,5,FALSE),0))</f>
        <v>0</v>
      </c>
      <c r="G3876" s="472">
        <f t="shared" si="1177"/>
        <v>0</v>
      </c>
    </row>
    <row r="3877" spans="1:7" ht="19.899999999999999" customHeight="1">
      <c r="A3877" s="515">
        <f t="shared" si="1173"/>
        <v>0</v>
      </c>
      <c r="B3877" s="478">
        <f t="shared" si="1174"/>
        <v>0</v>
      </c>
      <c r="C3877" s="469"/>
      <c r="D3877" s="479">
        <f t="shared" si="1175"/>
        <v>0</v>
      </c>
      <c r="E3877" s="472">
        <f t="shared" si="1176"/>
        <v>0</v>
      </c>
      <c r="F3877" s="475">
        <f>IF(C3877="",0,IFERROR(VLOOKUP(COUNTIF($A$1:A3877,"ANALISIS DE PRECIOS"),T_Rendimiento_Equipo,5,FALSE),0))</f>
        <v>0</v>
      </c>
      <c r="G3877" s="472">
        <f t="shared" si="1177"/>
        <v>0</v>
      </c>
    </row>
    <row r="3878" spans="1:7" ht="19.899999999999999" customHeight="1">
      <c r="A3878" s="516"/>
      <c r="B3878" s="459"/>
      <c r="C3878" s="163"/>
      <c r="D3878" s="459"/>
      <c r="E3878" s="460"/>
      <c r="F3878" s="650" t="s">
        <v>26</v>
      </c>
      <c r="G3878" s="517">
        <f>SUBTOTAL(9,G3869:G3877)</f>
        <v>0</v>
      </c>
    </row>
    <row r="3879" spans="1:7" ht="19.899999999999999" customHeight="1">
      <c r="A3879" s="513"/>
      <c r="B3879" s="163"/>
      <c r="C3879" s="455" t="s">
        <v>712</v>
      </c>
      <c r="D3879" s="459"/>
      <c r="E3879" s="460"/>
      <c r="F3879" s="461"/>
      <c r="G3879" s="514"/>
    </row>
    <row r="3880" spans="1:7" ht="19.899999999999999" customHeight="1">
      <c r="A3880" s="677" t="s">
        <v>575</v>
      </c>
      <c r="B3880" s="678"/>
      <c r="C3880" s="679" t="s">
        <v>0</v>
      </c>
      <c r="D3880" s="681" t="s">
        <v>23</v>
      </c>
      <c r="E3880" s="681" t="s">
        <v>1830</v>
      </c>
      <c r="F3880" s="683" t="s">
        <v>1006</v>
      </c>
      <c r="G3880" s="685" t="s">
        <v>25</v>
      </c>
    </row>
    <row r="3881" spans="1:7" ht="19.899999999999999" customHeight="1">
      <c r="A3881" s="477" t="s">
        <v>576</v>
      </c>
      <c r="B3881" s="477" t="s">
        <v>577</v>
      </c>
      <c r="C3881" s="680"/>
      <c r="D3881" s="682"/>
      <c r="E3881" s="682"/>
      <c r="F3881" s="684"/>
      <c r="G3881" s="686"/>
    </row>
    <row r="3882" spans="1:7" ht="19.899999999999999" customHeight="1">
      <c r="A3882" s="515">
        <f t="shared" ref="A3882:A3888" si="1178">IFERROR(VLOOKUP(C3882,T_Insumos,4,FALSE),0)</f>
        <v>0</v>
      </c>
      <c r="B3882" s="478">
        <f t="shared" ref="B3882:B3888" si="1179">IFERROR(VLOOKUP(C3882,T_Insumos,5,FALSE),0)</f>
        <v>0</v>
      </c>
      <c r="C3882" s="482"/>
      <c r="D3882" s="475"/>
      <c r="E3882" s="472">
        <f t="shared" ref="E3882:E3888" si="1180">IFERROR(VLOOKUP(C3882,T_Insumos,3,FALSE),0)</f>
        <v>0</v>
      </c>
      <c r="F3882" s="475">
        <f>IF(C3882="",0,IFERROR(VLOOKUP(COUNTIF($A$1:A3882,"ANALISIS DE PRECIOS"),T_Rendimiento_Equipo,5,FALSE),0))</f>
        <v>0</v>
      </c>
      <c r="G3882" s="472">
        <f>IFERROR(ROUND(D3882*E3882/F3882,2),0)</f>
        <v>0</v>
      </c>
    </row>
    <row r="3883" spans="1:7" ht="19.899999999999999" customHeight="1">
      <c r="A3883" s="515">
        <f t="shared" si="1178"/>
        <v>0</v>
      </c>
      <c r="B3883" s="478">
        <f t="shared" si="1179"/>
        <v>0</v>
      </c>
      <c r="C3883" s="469"/>
      <c r="D3883" s="475"/>
      <c r="E3883" s="472">
        <f t="shared" si="1180"/>
        <v>0</v>
      </c>
      <c r="F3883" s="475">
        <f>IF(C3883="",0,IFERROR(VLOOKUP(COUNTIF($A$1:A3883,"ANALISIS DE PRECIOS"),T_Rendimiento_Equipo,5,FALSE),0))</f>
        <v>0</v>
      </c>
      <c r="G3883" s="472">
        <f t="shared" ref="G3883:G3888" si="1181">IFERROR(ROUND(D3883*E3883/F3883,2),0)</f>
        <v>0</v>
      </c>
    </row>
    <row r="3884" spans="1:7" ht="19.899999999999999" customHeight="1">
      <c r="A3884" s="515">
        <f t="shared" si="1178"/>
        <v>0</v>
      </c>
      <c r="B3884" s="478">
        <f t="shared" si="1179"/>
        <v>0</v>
      </c>
      <c r="C3884" s="469"/>
      <c r="D3884" s="475"/>
      <c r="E3884" s="472">
        <f t="shared" si="1180"/>
        <v>0</v>
      </c>
      <c r="F3884" s="475">
        <f>IF(C3884="",0,IFERROR(VLOOKUP(COUNTIF($A$1:A3884,"ANALISIS DE PRECIOS"),T_Rendimiento_Equipo,5,FALSE),0))</f>
        <v>0</v>
      </c>
      <c r="G3884" s="472">
        <f t="shared" si="1181"/>
        <v>0</v>
      </c>
    </row>
    <row r="3885" spans="1:7" ht="19.899999999999999" customHeight="1">
      <c r="A3885" s="515">
        <f t="shared" si="1178"/>
        <v>0</v>
      </c>
      <c r="B3885" s="478">
        <f t="shared" si="1179"/>
        <v>0</v>
      </c>
      <c r="C3885" s="469"/>
      <c r="D3885" s="475"/>
      <c r="E3885" s="472">
        <f t="shared" si="1180"/>
        <v>0</v>
      </c>
      <c r="F3885" s="475">
        <f>IF(C3885="",0,IFERROR(VLOOKUP(COUNTIF($A$1:A3885,"ANALISIS DE PRECIOS"),T_Rendimiento_Equipo,5,FALSE),0))</f>
        <v>0</v>
      </c>
      <c r="G3885" s="472">
        <f t="shared" si="1181"/>
        <v>0</v>
      </c>
    </row>
    <row r="3886" spans="1:7" ht="19.899999999999999" customHeight="1">
      <c r="A3886" s="515">
        <f t="shared" si="1178"/>
        <v>0</v>
      </c>
      <c r="B3886" s="478">
        <f t="shared" si="1179"/>
        <v>0</v>
      </c>
      <c r="C3886" s="469"/>
      <c r="D3886" s="475"/>
      <c r="E3886" s="472">
        <f t="shared" si="1180"/>
        <v>0</v>
      </c>
      <c r="F3886" s="475">
        <f>IF(C3886="",0,IFERROR(VLOOKUP(COUNTIF($A$1:A3886,"ANALISIS DE PRECIOS"),T_Rendimiento_Equipo,5,FALSE),0))</f>
        <v>0</v>
      </c>
      <c r="G3886" s="472">
        <f t="shared" si="1181"/>
        <v>0</v>
      </c>
    </row>
    <row r="3887" spans="1:7" ht="19.899999999999999" customHeight="1">
      <c r="A3887" s="515">
        <f t="shared" si="1178"/>
        <v>0</v>
      </c>
      <c r="B3887" s="478">
        <f t="shared" si="1179"/>
        <v>0</v>
      </c>
      <c r="C3887" s="469"/>
      <c r="D3887" s="483"/>
      <c r="E3887" s="472">
        <f t="shared" si="1180"/>
        <v>0</v>
      </c>
      <c r="F3887" s="475">
        <f>IF(C3887="",0,IFERROR(VLOOKUP(COUNTIF($A$1:A3887,"ANALISIS DE PRECIOS"),T_Rendimiento_Equipo,5,FALSE),0))</f>
        <v>0</v>
      </c>
      <c r="G3887" s="472">
        <f t="shared" si="1181"/>
        <v>0</v>
      </c>
    </row>
    <row r="3888" spans="1:7" ht="19.899999999999999" customHeight="1">
      <c r="A3888" s="515">
        <f t="shared" si="1178"/>
        <v>0</v>
      </c>
      <c r="B3888" s="478">
        <f t="shared" si="1179"/>
        <v>0</v>
      </c>
      <c r="C3888" s="478"/>
      <c r="D3888" s="484"/>
      <c r="E3888" s="472">
        <f t="shared" si="1180"/>
        <v>0</v>
      </c>
      <c r="F3888" s="475">
        <f>IF(C3888="",0,IFERROR(VLOOKUP(COUNTIF($A$1:A3888,"ANALISIS DE PRECIOS"),T_Rendimiento_Equipo,5,FALSE),0))</f>
        <v>0</v>
      </c>
      <c r="G3888" s="472">
        <f t="shared" si="1181"/>
        <v>0</v>
      </c>
    </row>
    <row r="3889" spans="1:7" ht="19.899999999999999" customHeight="1">
      <c r="A3889" s="516"/>
      <c r="B3889" s="459"/>
      <c r="C3889" s="163"/>
      <c r="D3889" s="459"/>
      <c r="E3889" s="460"/>
      <c r="F3889" s="650" t="s">
        <v>27</v>
      </c>
      <c r="G3889" s="518">
        <f>SUBTOTAL(9,G3882:G3888)</f>
        <v>0</v>
      </c>
    </row>
    <row r="3890" spans="1:7" ht="19.899999999999999" customHeight="1">
      <c r="A3890" s="513"/>
      <c r="B3890" s="163"/>
      <c r="C3890" s="455" t="s">
        <v>1013</v>
      </c>
      <c r="D3890" s="459"/>
      <c r="E3890" s="460"/>
      <c r="F3890" s="461"/>
      <c r="G3890" s="514"/>
    </row>
    <row r="3891" spans="1:7" ht="19.899999999999999" customHeight="1">
      <c r="A3891" s="677" t="s">
        <v>575</v>
      </c>
      <c r="B3891" s="678"/>
      <c r="C3891" s="679" t="s">
        <v>0</v>
      </c>
      <c r="D3891" s="679" t="s">
        <v>1865</v>
      </c>
      <c r="E3891" s="681" t="s">
        <v>23</v>
      </c>
      <c r="F3891" s="683" t="s">
        <v>24</v>
      </c>
      <c r="G3891" s="685" t="s">
        <v>25</v>
      </c>
    </row>
    <row r="3892" spans="1:7" ht="19.899999999999999" customHeight="1">
      <c r="A3892" s="477" t="s">
        <v>576</v>
      </c>
      <c r="B3892" s="477" t="s">
        <v>577</v>
      </c>
      <c r="C3892" s="680"/>
      <c r="D3892" s="680"/>
      <c r="E3892" s="682"/>
      <c r="F3892" s="684"/>
      <c r="G3892" s="686"/>
    </row>
    <row r="3893" spans="1:7" ht="19.899999999999999" customHeight="1">
      <c r="A3893" s="515">
        <f t="shared" ref="A3893:A3903" si="1182">IFERROR(VLOOKUP(C3893,T_Insumos,4,FALSE),0)</f>
        <v>0</v>
      </c>
      <c r="B3893" s="478">
        <f t="shared" ref="B3893:B3903" si="1183">IFERROR(VLOOKUP(C3893,T_Insumos,5,FALSE),0)</f>
        <v>0</v>
      </c>
      <c r="C3893" s="478"/>
      <c r="D3893" s="526">
        <f t="shared" ref="D3893:D3903" si="1184">IFERROR(VLOOKUP(C3893,T_Insumos,2,FALSE),0)</f>
        <v>0</v>
      </c>
      <c r="E3893" s="470"/>
      <c r="F3893" s="472">
        <f t="shared" ref="F3893:F3903" si="1185">IFERROR(VLOOKUP(C3893,T_Insumos,3,FALSE),0)</f>
        <v>0</v>
      </c>
      <c r="G3893" s="472">
        <f>ROUND(E3893*F3893,2)</f>
        <v>0</v>
      </c>
    </row>
    <row r="3894" spans="1:7" ht="19.899999999999999" customHeight="1">
      <c r="A3894" s="515">
        <f t="shared" si="1182"/>
        <v>0</v>
      </c>
      <c r="B3894" s="478">
        <f t="shared" si="1183"/>
        <v>0</v>
      </c>
      <c r="C3894" s="478"/>
      <c r="D3894" s="526">
        <f t="shared" si="1184"/>
        <v>0</v>
      </c>
      <c r="E3894" s="470"/>
      <c r="F3894" s="472">
        <f t="shared" si="1185"/>
        <v>0</v>
      </c>
      <c r="G3894" s="472">
        <f t="shared" ref="G3894:G3903" si="1186">ROUND(E3894*F3894,2)</f>
        <v>0</v>
      </c>
    </row>
    <row r="3895" spans="1:7" ht="19.899999999999999" customHeight="1">
      <c r="A3895" s="515">
        <f t="shared" si="1182"/>
        <v>0</v>
      </c>
      <c r="B3895" s="478">
        <f t="shared" si="1183"/>
        <v>0</v>
      </c>
      <c r="C3895" s="478"/>
      <c r="D3895" s="526">
        <f t="shared" si="1184"/>
        <v>0</v>
      </c>
      <c r="E3895" s="470"/>
      <c r="F3895" s="472">
        <f t="shared" si="1185"/>
        <v>0</v>
      </c>
      <c r="G3895" s="472">
        <f t="shared" si="1186"/>
        <v>0</v>
      </c>
    </row>
    <row r="3896" spans="1:7" ht="19.899999999999999" customHeight="1">
      <c r="A3896" s="515">
        <f t="shared" si="1182"/>
        <v>0</v>
      </c>
      <c r="B3896" s="478">
        <f t="shared" si="1183"/>
        <v>0</v>
      </c>
      <c r="C3896" s="478"/>
      <c r="D3896" s="526">
        <f t="shared" si="1184"/>
        <v>0</v>
      </c>
      <c r="E3896" s="470"/>
      <c r="F3896" s="472">
        <f t="shared" si="1185"/>
        <v>0</v>
      </c>
      <c r="G3896" s="472">
        <f t="shared" si="1186"/>
        <v>0</v>
      </c>
    </row>
    <row r="3897" spans="1:7" ht="19.899999999999999" customHeight="1">
      <c r="A3897" s="515">
        <f t="shared" si="1182"/>
        <v>0</v>
      </c>
      <c r="B3897" s="478">
        <f t="shared" si="1183"/>
        <v>0</v>
      </c>
      <c r="C3897" s="478"/>
      <c r="D3897" s="526">
        <f t="shared" si="1184"/>
        <v>0</v>
      </c>
      <c r="E3897" s="470"/>
      <c r="F3897" s="472">
        <f t="shared" si="1185"/>
        <v>0</v>
      </c>
      <c r="G3897" s="472">
        <f t="shared" si="1186"/>
        <v>0</v>
      </c>
    </row>
    <row r="3898" spans="1:7" ht="19.899999999999999" customHeight="1">
      <c r="A3898" s="515">
        <f t="shared" si="1182"/>
        <v>0</v>
      </c>
      <c r="B3898" s="478">
        <f t="shared" si="1183"/>
        <v>0</v>
      </c>
      <c r="C3898" s="478"/>
      <c r="D3898" s="526">
        <f t="shared" si="1184"/>
        <v>0</v>
      </c>
      <c r="E3898" s="470"/>
      <c r="F3898" s="472">
        <f t="shared" si="1185"/>
        <v>0</v>
      </c>
      <c r="G3898" s="472">
        <f t="shared" si="1186"/>
        <v>0</v>
      </c>
    </row>
    <row r="3899" spans="1:7" ht="19.899999999999999" customHeight="1">
      <c r="A3899" s="515">
        <f t="shared" si="1182"/>
        <v>0</v>
      </c>
      <c r="B3899" s="478">
        <f t="shared" si="1183"/>
        <v>0</v>
      </c>
      <c r="C3899" s="478"/>
      <c r="D3899" s="526">
        <f t="shared" si="1184"/>
        <v>0</v>
      </c>
      <c r="E3899" s="470"/>
      <c r="F3899" s="472">
        <f t="shared" si="1185"/>
        <v>0</v>
      </c>
      <c r="G3899" s="472">
        <f t="shared" si="1186"/>
        <v>0</v>
      </c>
    </row>
    <row r="3900" spans="1:7" ht="19.899999999999999" customHeight="1">
      <c r="A3900" s="515">
        <f t="shared" si="1182"/>
        <v>0</v>
      </c>
      <c r="B3900" s="478">
        <f t="shared" si="1183"/>
        <v>0</v>
      </c>
      <c r="C3900" s="478"/>
      <c r="D3900" s="526">
        <f t="shared" si="1184"/>
        <v>0</v>
      </c>
      <c r="E3900" s="470"/>
      <c r="F3900" s="472">
        <f t="shared" si="1185"/>
        <v>0</v>
      </c>
      <c r="G3900" s="472">
        <f t="shared" si="1186"/>
        <v>0</v>
      </c>
    </row>
    <row r="3901" spans="1:7" ht="19.899999999999999" customHeight="1">
      <c r="A3901" s="515">
        <f t="shared" si="1182"/>
        <v>0</v>
      </c>
      <c r="B3901" s="478">
        <f t="shared" si="1183"/>
        <v>0</v>
      </c>
      <c r="C3901" s="478"/>
      <c r="D3901" s="526">
        <f t="shared" si="1184"/>
        <v>0</v>
      </c>
      <c r="E3901" s="470"/>
      <c r="F3901" s="472">
        <f t="shared" si="1185"/>
        <v>0</v>
      </c>
      <c r="G3901" s="472">
        <f t="shared" si="1186"/>
        <v>0</v>
      </c>
    </row>
    <row r="3902" spans="1:7" ht="19.899999999999999" customHeight="1">
      <c r="A3902" s="515">
        <f t="shared" si="1182"/>
        <v>0</v>
      </c>
      <c r="B3902" s="478">
        <f t="shared" si="1183"/>
        <v>0</v>
      </c>
      <c r="C3902" s="478"/>
      <c r="D3902" s="526">
        <f t="shared" si="1184"/>
        <v>0</v>
      </c>
      <c r="E3902" s="470"/>
      <c r="F3902" s="472">
        <f t="shared" si="1185"/>
        <v>0</v>
      </c>
      <c r="G3902" s="472">
        <f t="shared" si="1186"/>
        <v>0</v>
      </c>
    </row>
    <row r="3903" spans="1:7" ht="19.899999999999999" customHeight="1">
      <c r="A3903" s="515">
        <f t="shared" si="1182"/>
        <v>0</v>
      </c>
      <c r="B3903" s="478">
        <f t="shared" si="1183"/>
        <v>0</v>
      </c>
      <c r="C3903" s="478"/>
      <c r="D3903" s="526">
        <f t="shared" si="1184"/>
        <v>0</v>
      </c>
      <c r="E3903" s="470"/>
      <c r="F3903" s="472">
        <f t="shared" si="1185"/>
        <v>0</v>
      </c>
      <c r="G3903" s="472">
        <f t="shared" si="1186"/>
        <v>0</v>
      </c>
    </row>
    <row r="3904" spans="1:7" ht="19.899999999999999" customHeight="1">
      <c r="A3904" s="513"/>
      <c r="B3904" s="163"/>
      <c r="C3904" s="163"/>
      <c r="D3904" s="459"/>
      <c r="E3904" s="460"/>
      <c r="F3904" s="650" t="s">
        <v>28</v>
      </c>
      <c r="G3904" s="518">
        <f>SUBTOTAL(9,G3893:G3903)</f>
        <v>0</v>
      </c>
    </row>
    <row r="3905" spans="1:7" ht="19.899999999999999" customHeight="1">
      <c r="A3905" s="513"/>
      <c r="B3905" s="163"/>
      <c r="C3905" s="455" t="s">
        <v>1014</v>
      </c>
      <c r="D3905" s="459"/>
      <c r="E3905" s="460"/>
      <c r="F3905" s="461"/>
      <c r="G3905" s="514"/>
    </row>
    <row r="3906" spans="1:7" ht="19.899999999999999" customHeight="1">
      <c r="A3906" s="677" t="s">
        <v>575</v>
      </c>
      <c r="B3906" s="678"/>
      <c r="C3906" s="679" t="s">
        <v>0</v>
      </c>
      <c r="D3906" s="679" t="s">
        <v>1865</v>
      </c>
      <c r="E3906" s="681" t="s">
        <v>23</v>
      </c>
      <c r="F3906" s="683" t="s">
        <v>24</v>
      </c>
      <c r="G3906" s="685" t="s">
        <v>25</v>
      </c>
    </row>
    <row r="3907" spans="1:7" ht="19.899999999999999" customHeight="1">
      <c r="A3907" s="477" t="s">
        <v>576</v>
      </c>
      <c r="B3907" s="477" t="s">
        <v>577</v>
      </c>
      <c r="C3907" s="680"/>
      <c r="D3907" s="680"/>
      <c r="E3907" s="682"/>
      <c r="F3907" s="684"/>
      <c r="G3907" s="686"/>
    </row>
    <row r="3908" spans="1:7" ht="19.899999999999999" customHeight="1">
      <c r="A3908" s="515">
        <f>IFERROR(VLOOKUP(C3908,T_Insumos,4,FALSE),0)</f>
        <v>0</v>
      </c>
      <c r="B3908" s="478">
        <f>IFERROR(VLOOKUP(C3908,T_Insumos,5,FALSE),0)</f>
        <v>0</v>
      </c>
      <c r="C3908" s="469"/>
      <c r="D3908" s="526">
        <f>IF(C3908=0,0,"$/tnkm")</f>
        <v>0</v>
      </c>
      <c r="E3908" s="470"/>
      <c r="F3908" s="472">
        <f>IFERROR(VLOOKUP(C3908,T_Insumos,3,FALSE),0)</f>
        <v>0</v>
      </c>
      <c r="G3908" s="472">
        <f>ROUND(E3908*F3908,2)</f>
        <v>0</v>
      </c>
    </row>
    <row r="3909" spans="1:7" ht="19.899999999999999" customHeight="1">
      <c r="A3909" s="515">
        <f>IFERROR(VLOOKUP(C3909,T_Insumos,4,FALSE),0)</f>
        <v>0</v>
      </c>
      <c r="B3909" s="478">
        <f>IFERROR(VLOOKUP(C3909,T_Insumos,5,FALSE),0)</f>
        <v>0</v>
      </c>
      <c r="C3909" s="469"/>
      <c r="D3909" s="526">
        <f>IF(C3909=0,0,"$/tnkm")</f>
        <v>0</v>
      </c>
      <c r="E3909" s="486"/>
      <c r="F3909" s="472">
        <f>IFERROR(VLOOKUP(C3909,T_Insumos,3,FALSE),0)</f>
        <v>0</v>
      </c>
      <c r="G3909" s="472">
        <f t="shared" ref="G3909" si="1187">ROUND(E3909*F3909,2)</f>
        <v>0</v>
      </c>
    </row>
    <row r="3910" spans="1:7" ht="19.899999999999999" customHeight="1">
      <c r="A3910" s="513"/>
      <c r="B3910" s="163"/>
      <c r="C3910" s="163"/>
      <c r="D3910" s="459"/>
      <c r="E3910" s="460"/>
      <c r="F3910" s="650" t="s">
        <v>1015</v>
      </c>
      <c r="G3910" s="518">
        <f>SUBTOTAL(9,G3908:G3909)</f>
        <v>0</v>
      </c>
    </row>
    <row r="3911" spans="1:7" ht="19.899999999999999" customHeight="1">
      <c r="A3911" s="516"/>
      <c r="B3911" s="459"/>
      <c r="C3911" s="163"/>
      <c r="D3911" s="459"/>
      <c r="E3911" s="460"/>
      <c r="F3911" s="461"/>
      <c r="G3911" s="514"/>
    </row>
    <row r="3912" spans="1:7" ht="19.899999999999999" customHeight="1">
      <c r="A3912" s="574" t="str">
        <f>B3846</f>
        <v>6.2.13</v>
      </c>
      <c r="B3912" s="571" t="str">
        <f ca="1">C3846</f>
        <v>Hormigón ciclopeo</v>
      </c>
      <c r="C3912" s="459"/>
      <c r="D3912" s="459" t="s">
        <v>1831</v>
      </c>
      <c r="E3912" s="572"/>
      <c r="F3912" s="573" t="str">
        <f ca="1">"$/"&amp;G3846</f>
        <v>$/m3</v>
      </c>
      <c r="G3912" s="523">
        <f>SUBTOTAL(9,G3869:G3911)</f>
        <v>0</v>
      </c>
    </row>
    <row r="3913" spans="1:7" ht="19.899999999999999" customHeight="1">
      <c r="A3913" s="519"/>
      <c r="B3913" s="520"/>
      <c r="C3913" s="521"/>
      <c r="D3913" s="521" t="s">
        <v>2041</v>
      </c>
      <c r="E3913" s="522"/>
      <c r="F3913" s="575" t="str">
        <f ca="1">"$/"&amp;G3846</f>
        <v>$/m3</v>
      </c>
      <c r="G3913" s="523">
        <f>ROUND(G3912*Coeficiente_Paso,2)</f>
        <v>0</v>
      </c>
    </row>
    <row r="3914" spans="1:7" ht="19.899999999999999" customHeight="1">
      <c r="A3914" s="163"/>
      <c r="B3914" s="163"/>
      <c r="C3914" s="163"/>
      <c r="D3914" s="163"/>
      <c r="E3914" s="163"/>
      <c r="F3914" s="163"/>
      <c r="G3914" s="163"/>
    </row>
    <row r="3915" spans="1:7" ht="19.899999999999999" customHeight="1">
      <c r="A3915" s="687" t="s">
        <v>30</v>
      </c>
      <c r="B3915" s="688"/>
      <c r="C3915" s="688"/>
      <c r="D3915" s="688"/>
      <c r="E3915" s="688"/>
      <c r="F3915" s="688"/>
      <c r="G3915" s="689"/>
    </row>
    <row r="3916" spans="1:7" ht="19.899999999999999" customHeight="1">
      <c r="A3916" s="502" t="s">
        <v>710</v>
      </c>
      <c r="B3916" s="453" t="str">
        <f>Comitente</f>
        <v>DEPARTAMENTO DE HIDRAULICA</v>
      </c>
      <c r="C3916" s="454"/>
      <c r="D3916" s="455"/>
      <c r="E3916" s="455"/>
      <c r="F3916" s="456"/>
      <c r="G3916" s="503"/>
    </row>
    <row r="3917" spans="1:7" ht="19.899999999999999" customHeight="1">
      <c r="A3917" s="502" t="s">
        <v>711</v>
      </c>
      <c r="B3917" s="453">
        <f>Contratista</f>
        <v>0</v>
      </c>
      <c r="C3917" s="457"/>
      <c r="D3917" s="457"/>
      <c r="E3917" s="457"/>
      <c r="F3917" s="453"/>
      <c r="G3917" s="504"/>
    </row>
    <row r="3918" spans="1:7" ht="19.899999999999999" customHeight="1">
      <c r="A3918" s="502" t="s">
        <v>20</v>
      </c>
      <c r="B3918" s="453" t="str">
        <f>Obra</f>
        <v>MEJORA DE LA RED DE RIEGO DEL VALLE DE JÁCHAL</v>
      </c>
      <c r="C3918" s="457"/>
      <c r="D3918" s="457"/>
      <c r="E3918" s="457"/>
      <c r="F3918" s="453" t="s">
        <v>31</v>
      </c>
      <c r="G3918" s="504" t="str">
        <f>Fecha_Base</f>
        <v>XX/07/2020</v>
      </c>
    </row>
    <row r="3919" spans="1:7" ht="19.899999999999999" customHeight="1">
      <c r="A3919" s="505" t="s">
        <v>709</v>
      </c>
      <c r="B3919" s="458" t="str">
        <f>Ubicación</f>
        <v>JACHAL</v>
      </c>
      <c r="C3919" s="458"/>
      <c r="D3919" s="459"/>
      <c r="E3919" s="460"/>
      <c r="F3919" s="461"/>
      <c r="G3919" s="506"/>
    </row>
    <row r="3920" spans="1:7" ht="19.899999999999999" customHeight="1">
      <c r="A3920" s="505" t="s">
        <v>32</v>
      </c>
      <c r="B3920" s="462">
        <f>IFERROR(VALUE(LEFT(B3921,FIND(".",B3921)-1)),"")</f>
        <v>6</v>
      </c>
      <c r="C3920" s="163" t="str">
        <f ca="1">IFERROR(VLOOKUP(B3920,T_Computo_Presupuesto,2,FALSE),0)</f>
        <v>CANAL DEL NORTE</v>
      </c>
      <c r="D3920" s="163"/>
      <c r="E3920" s="460"/>
      <c r="F3920" s="461"/>
      <c r="G3920" s="506"/>
    </row>
    <row r="3921" spans="1:7" ht="19.899999999999999" customHeight="1">
      <c r="A3921" s="505" t="s">
        <v>21</v>
      </c>
      <c r="B3921" s="463" t="str">
        <f>IFERROR(VLOOKUP(COUNTIF($A$1:A3921,"ANALISIS DE PRECIOS"),T_NumeroItem,2,FALSE),"")</f>
        <v>6.2.14</v>
      </c>
      <c r="C3921" s="690" t="str">
        <f ca="1">IFERROR(VLOOKUP(B3921,T_Computo_Presupuesto,2,FALSE),0)</f>
        <v>Aplicación puente de adherencia y reconstruccion de recubrimiento</v>
      </c>
      <c r="D3921" s="690"/>
      <c r="E3921" s="690"/>
      <c r="F3921" s="458" t="s">
        <v>22</v>
      </c>
      <c r="G3921" s="507" t="str">
        <f ca="1">IFERROR(VLOOKUP(B3921,T_Computo_Presupuesto,4,FALSE),0)</f>
        <v>m2</v>
      </c>
    </row>
    <row r="3922" spans="1:7" ht="19.899999999999999" customHeight="1">
      <c r="A3922" s="505"/>
      <c r="B3922" s="458"/>
      <c r="C3922" s="163"/>
      <c r="D3922" s="459"/>
      <c r="E3922" s="460"/>
      <c r="F3922" s="163"/>
      <c r="G3922" s="508"/>
    </row>
    <row r="3923" spans="1:7" ht="19.899999999999999" customHeight="1">
      <c r="A3923" s="509"/>
      <c r="B3923" s="464"/>
      <c r="C3923" s="465" t="s">
        <v>998</v>
      </c>
      <c r="D3923" s="464"/>
      <c r="E3923" s="464"/>
      <c r="F3923" s="464"/>
      <c r="G3923" s="510"/>
    </row>
    <row r="3924" spans="1:7" ht="19.899999999999999" customHeight="1">
      <c r="A3924" s="505"/>
      <c r="B3924" s="466"/>
      <c r="C3924" s="163"/>
      <c r="D3924" s="459"/>
      <c r="E3924" s="460"/>
      <c r="F3924" s="458"/>
      <c r="G3924" s="507"/>
    </row>
    <row r="3925" spans="1:7" ht="19.899999999999999" customHeight="1">
      <c r="A3925" s="505"/>
      <c r="B3925" s="466"/>
      <c r="C3925" s="467" t="s">
        <v>999</v>
      </c>
      <c r="D3925" s="468" t="s">
        <v>23</v>
      </c>
      <c r="E3925" s="468" t="s">
        <v>1000</v>
      </c>
      <c r="F3925" s="468" t="s">
        <v>1001</v>
      </c>
      <c r="G3925" s="467" t="s">
        <v>1002</v>
      </c>
    </row>
    <row r="3926" spans="1:7" ht="19.899999999999999" customHeight="1">
      <c r="A3926" s="505"/>
      <c r="B3926" s="466"/>
      <c r="C3926" s="469"/>
      <c r="D3926" s="470"/>
      <c r="E3926" s="471">
        <f t="shared" ref="E3926:E3935" si="1188">IFERROR(VLOOKUP(C3926,T_Equipos,4,FALSE),0)</f>
        <v>0</v>
      </c>
      <c r="F3926" s="472">
        <f t="shared" ref="F3926:F3935" si="1189">IFERROR(VLOOKUP(C3926,T_Equipos,5,FALSE),0)</f>
        <v>0</v>
      </c>
      <c r="G3926" s="472">
        <f>ROUND(D3926*F3926,2)</f>
        <v>0</v>
      </c>
    </row>
    <row r="3927" spans="1:7" ht="19.899999999999999" customHeight="1">
      <c r="A3927" s="505"/>
      <c r="B3927" s="466"/>
      <c r="C3927" s="469"/>
      <c r="D3927" s="470"/>
      <c r="E3927" s="471">
        <f t="shared" si="1188"/>
        <v>0</v>
      </c>
      <c r="F3927" s="472">
        <f t="shared" si="1189"/>
        <v>0</v>
      </c>
      <c r="G3927" s="472">
        <f>ROUND(D3927*F3927,2)</f>
        <v>0</v>
      </c>
    </row>
    <row r="3928" spans="1:7" ht="19.899999999999999" customHeight="1">
      <c r="A3928" s="505"/>
      <c r="B3928" s="466"/>
      <c r="C3928" s="469"/>
      <c r="D3928" s="470"/>
      <c r="E3928" s="471">
        <f t="shared" si="1188"/>
        <v>0</v>
      </c>
      <c r="F3928" s="472">
        <f t="shared" si="1189"/>
        <v>0</v>
      </c>
      <c r="G3928" s="472">
        <f>ROUND(D3928*F3928,2)</f>
        <v>0</v>
      </c>
    </row>
    <row r="3929" spans="1:7" ht="19.899999999999999" customHeight="1">
      <c r="A3929" s="505"/>
      <c r="B3929" s="466"/>
      <c r="C3929" s="469"/>
      <c r="D3929" s="470"/>
      <c r="E3929" s="471">
        <f t="shared" si="1188"/>
        <v>0</v>
      </c>
      <c r="F3929" s="472">
        <f t="shared" si="1189"/>
        <v>0</v>
      </c>
      <c r="G3929" s="472">
        <f>ROUND(D3929*F3929,2)</f>
        <v>0</v>
      </c>
    </row>
    <row r="3930" spans="1:7" ht="19.899999999999999" customHeight="1">
      <c r="A3930" s="505"/>
      <c r="B3930" s="466"/>
      <c r="C3930" s="469"/>
      <c r="D3930" s="470"/>
      <c r="E3930" s="471">
        <f t="shared" si="1188"/>
        <v>0</v>
      </c>
      <c r="F3930" s="472">
        <f t="shared" si="1189"/>
        <v>0</v>
      </c>
      <c r="G3930" s="472">
        <f t="shared" ref="G3930:G3935" si="1190">ROUND(D3930*F3930,2)</f>
        <v>0</v>
      </c>
    </row>
    <row r="3931" spans="1:7" ht="19.899999999999999" customHeight="1">
      <c r="A3931" s="505"/>
      <c r="B3931" s="466"/>
      <c r="C3931" s="469"/>
      <c r="D3931" s="470"/>
      <c r="E3931" s="471">
        <f t="shared" si="1188"/>
        <v>0</v>
      </c>
      <c r="F3931" s="472">
        <f t="shared" si="1189"/>
        <v>0</v>
      </c>
      <c r="G3931" s="472">
        <f t="shared" si="1190"/>
        <v>0</v>
      </c>
    </row>
    <row r="3932" spans="1:7" ht="19.899999999999999" customHeight="1">
      <c r="A3932" s="505"/>
      <c r="B3932" s="466"/>
      <c r="C3932" s="469"/>
      <c r="D3932" s="470"/>
      <c r="E3932" s="471">
        <f t="shared" si="1188"/>
        <v>0</v>
      </c>
      <c r="F3932" s="472">
        <f t="shared" si="1189"/>
        <v>0</v>
      </c>
      <c r="G3932" s="472">
        <f t="shared" si="1190"/>
        <v>0</v>
      </c>
    </row>
    <row r="3933" spans="1:7" ht="19.899999999999999" customHeight="1">
      <c r="A3933" s="505"/>
      <c r="B3933" s="466"/>
      <c r="C3933" s="469"/>
      <c r="D3933" s="470"/>
      <c r="E3933" s="471">
        <f t="shared" si="1188"/>
        <v>0</v>
      </c>
      <c r="F3933" s="472">
        <f t="shared" si="1189"/>
        <v>0</v>
      </c>
      <c r="G3933" s="472">
        <f t="shared" si="1190"/>
        <v>0</v>
      </c>
    </row>
    <row r="3934" spans="1:7" ht="19.899999999999999" customHeight="1">
      <c r="A3934" s="505"/>
      <c r="B3934" s="466"/>
      <c r="C3934" s="469"/>
      <c r="D3934" s="470"/>
      <c r="E3934" s="471">
        <f t="shared" si="1188"/>
        <v>0</v>
      </c>
      <c r="F3934" s="472">
        <f t="shared" si="1189"/>
        <v>0</v>
      </c>
      <c r="G3934" s="472">
        <f t="shared" si="1190"/>
        <v>0</v>
      </c>
    </row>
    <row r="3935" spans="1:7" ht="19.899999999999999" customHeight="1">
      <c r="A3935" s="505"/>
      <c r="B3935" s="466"/>
      <c r="C3935" s="469"/>
      <c r="D3935" s="470"/>
      <c r="E3935" s="471">
        <f t="shared" si="1188"/>
        <v>0</v>
      </c>
      <c r="F3935" s="472">
        <f t="shared" si="1189"/>
        <v>0</v>
      </c>
      <c r="G3935" s="472">
        <f t="shared" si="1190"/>
        <v>0</v>
      </c>
    </row>
    <row r="3936" spans="1:7" ht="19.899999999999999" customHeight="1">
      <c r="A3936" s="505"/>
      <c r="B3936" s="466"/>
      <c r="C3936" s="163"/>
      <c r="D3936" s="163"/>
      <c r="E3936" s="473"/>
      <c r="F3936" s="458"/>
      <c r="G3936" s="507"/>
    </row>
    <row r="3937" spans="1:7" ht="19.899999999999999" customHeight="1">
      <c r="A3937" s="505"/>
      <c r="B3937" s="163"/>
      <c r="C3937" s="455" t="s">
        <v>1003</v>
      </c>
      <c r="D3937" s="458" t="s">
        <v>1000</v>
      </c>
      <c r="E3937" s="524">
        <f>SUMPRODUCT(D3926:D3935,E3926:E3935)</f>
        <v>0</v>
      </c>
      <c r="F3937" s="458" t="s">
        <v>1004</v>
      </c>
      <c r="G3937" s="525">
        <f>SUM(G3926:G3935)</f>
        <v>0</v>
      </c>
    </row>
    <row r="3938" spans="1:7" ht="19.899999999999999" customHeight="1">
      <c r="A3938" s="505"/>
      <c r="B3938" s="466"/>
      <c r="C3938" s="474"/>
      <c r="D3938" s="473"/>
      <c r="E3938" s="460"/>
      <c r="F3938" s="458"/>
      <c r="G3938" s="511"/>
    </row>
    <row r="3939" spans="1:7" ht="19.899999999999999" customHeight="1">
      <c r="A3939" s="512"/>
      <c r="B3939" s="466"/>
      <c r="C3939" s="458" t="s">
        <v>1005</v>
      </c>
      <c r="D3939" s="475"/>
      <c r="E3939" s="476" t="str">
        <f ca="1">G3921&amp;"/día"</f>
        <v>m2/día</v>
      </c>
      <c r="F3939" s="452"/>
      <c r="G3939" s="507"/>
    </row>
    <row r="3940" spans="1:7" ht="19.899999999999999" customHeight="1">
      <c r="A3940" s="505"/>
      <c r="B3940" s="466"/>
      <c r="C3940" s="163"/>
      <c r="D3940" s="459"/>
      <c r="E3940" s="460"/>
      <c r="F3940" s="458"/>
      <c r="G3940" s="507"/>
    </row>
    <row r="3941" spans="1:7" ht="19.899999999999999" customHeight="1">
      <c r="A3941" s="677" t="s">
        <v>575</v>
      </c>
      <c r="B3941" s="678"/>
      <c r="C3941" s="679" t="s">
        <v>0</v>
      </c>
      <c r="D3941" s="691" t="s">
        <v>1864</v>
      </c>
      <c r="E3941" s="691" t="s">
        <v>1863</v>
      </c>
      <c r="F3941" s="683" t="s">
        <v>1006</v>
      </c>
      <c r="G3941" s="685" t="s">
        <v>25</v>
      </c>
    </row>
    <row r="3942" spans="1:7" ht="19.899999999999999" customHeight="1">
      <c r="A3942" s="477" t="s">
        <v>576</v>
      </c>
      <c r="B3942" s="477" t="s">
        <v>577</v>
      </c>
      <c r="C3942" s="680"/>
      <c r="D3942" s="692"/>
      <c r="E3942" s="682"/>
      <c r="F3942" s="684"/>
      <c r="G3942" s="686"/>
    </row>
    <row r="3943" spans="1:7" ht="19.899999999999999" customHeight="1">
      <c r="A3943" s="513"/>
      <c r="B3943" s="163"/>
      <c r="C3943" s="455" t="s">
        <v>1007</v>
      </c>
      <c r="D3943" s="460"/>
      <c r="E3943" s="460"/>
      <c r="F3943" s="163"/>
      <c r="G3943" s="514"/>
    </row>
    <row r="3944" spans="1:7" ht="19.899999999999999" customHeight="1">
      <c r="A3944" s="515">
        <f t="shared" ref="A3944:A3952" si="1191">IFERROR(VLOOKUP(C3944,T_Insumos,4,FALSE),0)</f>
        <v>0</v>
      </c>
      <c r="B3944" s="478">
        <f t="shared" ref="B3944:B3952" si="1192">IFERROR(VLOOKUP(C3944,T_Insumos,5,FALSE),0)</f>
        <v>0</v>
      </c>
      <c r="C3944" s="469"/>
      <c r="D3944" s="479">
        <f t="shared" ref="D3944:D3952" si="1193">IFERROR(VLOOKUP(C3944,T_Insumos,3,FALSE),0)</f>
        <v>0</v>
      </c>
      <c r="E3944" s="472">
        <f>D3944*$G$23</f>
        <v>0</v>
      </c>
      <c r="F3944" s="475">
        <f>IF(C3944="",0,IFERROR(VLOOKUP(COUNTIF($A$1:A3944,"ANALISIS DE PRECIOS"),T_Rendimiento_Equipo,5,FALSE),0))</f>
        <v>0</v>
      </c>
      <c r="G3944" s="472">
        <f>IFERROR(ROUND(E3944/F3944,2),0)</f>
        <v>0</v>
      </c>
    </row>
    <row r="3945" spans="1:7" ht="19.899999999999999" customHeight="1">
      <c r="A3945" s="515">
        <f t="shared" si="1191"/>
        <v>0</v>
      </c>
      <c r="B3945" s="478">
        <f t="shared" si="1192"/>
        <v>0</v>
      </c>
      <c r="C3945" s="469"/>
      <c r="D3945" s="479">
        <f t="shared" si="1193"/>
        <v>0</v>
      </c>
      <c r="E3945" s="472">
        <f t="shared" ref="E3945:E3952" si="1194">D3945*$G$23</f>
        <v>0</v>
      </c>
      <c r="F3945" s="475">
        <f>IF(C3945="",0,IFERROR(VLOOKUP(COUNTIF($A$1:A3945,"ANALISIS DE PRECIOS"),T_Rendimiento_Equipo,5,FALSE),0))</f>
        <v>0</v>
      </c>
      <c r="G3945" s="472">
        <f t="shared" ref="G3945:G3952" si="1195">IFERROR(ROUND(E3945/F3945,2),0)</f>
        <v>0</v>
      </c>
    </row>
    <row r="3946" spans="1:7" ht="19.899999999999999" customHeight="1">
      <c r="A3946" s="515">
        <f t="shared" si="1191"/>
        <v>0</v>
      </c>
      <c r="B3946" s="478">
        <f t="shared" si="1192"/>
        <v>0</v>
      </c>
      <c r="C3946" s="480"/>
      <c r="D3946" s="479">
        <f t="shared" si="1193"/>
        <v>0</v>
      </c>
      <c r="E3946" s="472">
        <f t="shared" si="1194"/>
        <v>0</v>
      </c>
      <c r="F3946" s="475">
        <f>IF(C3946="",0,IFERROR(VLOOKUP(COUNTIF($A$1:A3946,"ANALISIS DE PRECIOS"),T_Rendimiento_Equipo,5,FALSE),0))</f>
        <v>0</v>
      </c>
      <c r="G3946" s="472">
        <f t="shared" si="1195"/>
        <v>0</v>
      </c>
    </row>
    <row r="3947" spans="1:7" ht="19.899999999999999" customHeight="1">
      <c r="A3947" s="515">
        <f t="shared" si="1191"/>
        <v>0</v>
      </c>
      <c r="B3947" s="478">
        <f t="shared" si="1192"/>
        <v>0</v>
      </c>
      <c r="C3947" s="480"/>
      <c r="D3947" s="479">
        <f t="shared" si="1193"/>
        <v>0</v>
      </c>
      <c r="E3947" s="472">
        <f t="shared" si="1194"/>
        <v>0</v>
      </c>
      <c r="F3947" s="475">
        <f>IF(C3947="",0,IFERROR(VLOOKUP(COUNTIF($A$1:A3947,"ANALISIS DE PRECIOS"),T_Rendimiento_Equipo,5,FALSE),0))</f>
        <v>0</v>
      </c>
      <c r="G3947" s="472">
        <f t="shared" si="1195"/>
        <v>0</v>
      </c>
    </row>
    <row r="3948" spans="1:7" ht="19.899999999999999" customHeight="1">
      <c r="A3948" s="515">
        <f t="shared" si="1191"/>
        <v>0</v>
      </c>
      <c r="B3948" s="478">
        <f t="shared" si="1192"/>
        <v>0</v>
      </c>
      <c r="C3948" s="480"/>
      <c r="D3948" s="479">
        <f t="shared" si="1193"/>
        <v>0</v>
      </c>
      <c r="E3948" s="472">
        <f t="shared" si="1194"/>
        <v>0</v>
      </c>
      <c r="F3948" s="475">
        <f>IF(C3948="",0,IFERROR(VLOOKUP(COUNTIF($A$1:A3948,"ANALISIS DE PRECIOS"),T_Rendimiento_Equipo,5,FALSE),0))</f>
        <v>0</v>
      </c>
      <c r="G3948" s="472">
        <f t="shared" si="1195"/>
        <v>0</v>
      </c>
    </row>
    <row r="3949" spans="1:7" ht="19.899999999999999" customHeight="1">
      <c r="A3949" s="515">
        <f t="shared" si="1191"/>
        <v>0</v>
      </c>
      <c r="B3949" s="478">
        <f t="shared" si="1192"/>
        <v>0</v>
      </c>
      <c r="C3949" s="480"/>
      <c r="D3949" s="479">
        <f t="shared" si="1193"/>
        <v>0</v>
      </c>
      <c r="E3949" s="472">
        <f t="shared" si="1194"/>
        <v>0</v>
      </c>
      <c r="F3949" s="475">
        <f>IF(C3949="",0,IFERROR(VLOOKUP(COUNTIF($A$1:A3949,"ANALISIS DE PRECIOS"),T_Rendimiento_Equipo,5,FALSE),0))</f>
        <v>0</v>
      </c>
      <c r="G3949" s="472">
        <f t="shared" si="1195"/>
        <v>0</v>
      </c>
    </row>
    <row r="3950" spans="1:7" ht="19.899999999999999" customHeight="1">
      <c r="A3950" s="515">
        <f t="shared" si="1191"/>
        <v>0</v>
      </c>
      <c r="B3950" s="478">
        <f t="shared" si="1192"/>
        <v>0</v>
      </c>
      <c r="C3950" s="480"/>
      <c r="D3950" s="479">
        <f t="shared" si="1193"/>
        <v>0</v>
      </c>
      <c r="E3950" s="472">
        <f t="shared" si="1194"/>
        <v>0</v>
      </c>
      <c r="F3950" s="475">
        <f>IF(C3950="",0,IFERROR(VLOOKUP(COUNTIF($A$1:A3950,"ANALISIS DE PRECIOS"),T_Rendimiento_Equipo,5,FALSE),0))</f>
        <v>0</v>
      </c>
      <c r="G3950" s="472">
        <f t="shared" si="1195"/>
        <v>0</v>
      </c>
    </row>
    <row r="3951" spans="1:7" ht="19.899999999999999" customHeight="1">
      <c r="A3951" s="515">
        <f t="shared" si="1191"/>
        <v>0</v>
      </c>
      <c r="B3951" s="478">
        <f t="shared" si="1192"/>
        <v>0</v>
      </c>
      <c r="C3951" s="480"/>
      <c r="D3951" s="479">
        <f t="shared" si="1193"/>
        <v>0</v>
      </c>
      <c r="E3951" s="472">
        <f t="shared" si="1194"/>
        <v>0</v>
      </c>
      <c r="F3951" s="475">
        <f>IF(C3951="",0,IFERROR(VLOOKUP(COUNTIF($A$1:A3951,"ANALISIS DE PRECIOS"),T_Rendimiento_Equipo,5,FALSE),0))</f>
        <v>0</v>
      </c>
      <c r="G3951" s="472">
        <f t="shared" si="1195"/>
        <v>0</v>
      </c>
    </row>
    <row r="3952" spans="1:7" ht="19.899999999999999" customHeight="1">
      <c r="A3952" s="515">
        <f t="shared" si="1191"/>
        <v>0</v>
      </c>
      <c r="B3952" s="478">
        <f t="shared" si="1192"/>
        <v>0</v>
      </c>
      <c r="C3952" s="469"/>
      <c r="D3952" s="479">
        <f t="shared" si="1193"/>
        <v>0</v>
      </c>
      <c r="E3952" s="472">
        <f t="shared" si="1194"/>
        <v>0</v>
      </c>
      <c r="F3952" s="475">
        <f>IF(C3952="",0,IFERROR(VLOOKUP(COUNTIF($A$1:A3952,"ANALISIS DE PRECIOS"),T_Rendimiento_Equipo,5,FALSE),0))</f>
        <v>0</v>
      </c>
      <c r="G3952" s="472">
        <f t="shared" si="1195"/>
        <v>0</v>
      </c>
    </row>
    <row r="3953" spans="1:7" ht="19.899999999999999" customHeight="1">
      <c r="A3953" s="516"/>
      <c r="B3953" s="459"/>
      <c r="C3953" s="163"/>
      <c r="D3953" s="459"/>
      <c r="E3953" s="460"/>
      <c r="F3953" s="650" t="s">
        <v>26</v>
      </c>
      <c r="G3953" s="517">
        <f>SUBTOTAL(9,G3944:G3952)</f>
        <v>0</v>
      </c>
    </row>
    <row r="3954" spans="1:7" ht="19.899999999999999" customHeight="1">
      <c r="A3954" s="513"/>
      <c r="B3954" s="163"/>
      <c r="C3954" s="455" t="s">
        <v>712</v>
      </c>
      <c r="D3954" s="459"/>
      <c r="E3954" s="460"/>
      <c r="F3954" s="461"/>
      <c r="G3954" s="514"/>
    </row>
    <row r="3955" spans="1:7" ht="19.899999999999999" customHeight="1">
      <c r="A3955" s="677" t="s">
        <v>575</v>
      </c>
      <c r="B3955" s="678"/>
      <c r="C3955" s="679" t="s">
        <v>0</v>
      </c>
      <c r="D3955" s="681" t="s">
        <v>23</v>
      </c>
      <c r="E3955" s="681" t="s">
        <v>1830</v>
      </c>
      <c r="F3955" s="683" t="s">
        <v>1006</v>
      </c>
      <c r="G3955" s="685" t="s">
        <v>25</v>
      </c>
    </row>
    <row r="3956" spans="1:7" ht="19.899999999999999" customHeight="1">
      <c r="A3956" s="477" t="s">
        <v>576</v>
      </c>
      <c r="B3956" s="477" t="s">
        <v>577</v>
      </c>
      <c r="C3956" s="680"/>
      <c r="D3956" s="682"/>
      <c r="E3956" s="682"/>
      <c r="F3956" s="684"/>
      <c r="G3956" s="686"/>
    </row>
    <row r="3957" spans="1:7" ht="19.899999999999999" customHeight="1">
      <c r="A3957" s="515">
        <f t="shared" ref="A3957:A3963" si="1196">IFERROR(VLOOKUP(C3957,T_Insumos,4,FALSE),0)</f>
        <v>0</v>
      </c>
      <c r="B3957" s="478">
        <f t="shared" ref="B3957:B3963" si="1197">IFERROR(VLOOKUP(C3957,T_Insumos,5,FALSE),0)</f>
        <v>0</v>
      </c>
      <c r="C3957" s="482"/>
      <c r="D3957" s="475"/>
      <c r="E3957" s="472">
        <f t="shared" ref="E3957:E3963" si="1198">IFERROR(VLOOKUP(C3957,T_Insumos,3,FALSE),0)</f>
        <v>0</v>
      </c>
      <c r="F3957" s="475">
        <f>IF(C3957="",0,IFERROR(VLOOKUP(COUNTIF($A$1:A3957,"ANALISIS DE PRECIOS"),T_Rendimiento_Equipo,5,FALSE),0))</f>
        <v>0</v>
      </c>
      <c r="G3957" s="472">
        <f>IFERROR(ROUND(D3957*E3957/F3957,2),0)</f>
        <v>0</v>
      </c>
    </row>
    <row r="3958" spans="1:7" ht="19.899999999999999" customHeight="1">
      <c r="A3958" s="515">
        <f t="shared" si="1196"/>
        <v>0</v>
      </c>
      <c r="B3958" s="478">
        <f t="shared" si="1197"/>
        <v>0</v>
      </c>
      <c r="C3958" s="469"/>
      <c r="D3958" s="475"/>
      <c r="E3958" s="472">
        <f t="shared" si="1198"/>
        <v>0</v>
      </c>
      <c r="F3958" s="475">
        <f>IF(C3958="",0,IFERROR(VLOOKUP(COUNTIF($A$1:A3958,"ANALISIS DE PRECIOS"),T_Rendimiento_Equipo,5,FALSE),0))</f>
        <v>0</v>
      </c>
      <c r="G3958" s="472">
        <f t="shared" ref="G3958:G3963" si="1199">IFERROR(ROUND(D3958*E3958/F3958,2),0)</f>
        <v>0</v>
      </c>
    </row>
    <row r="3959" spans="1:7" ht="19.899999999999999" customHeight="1">
      <c r="A3959" s="515">
        <f t="shared" si="1196"/>
        <v>0</v>
      </c>
      <c r="B3959" s="478">
        <f t="shared" si="1197"/>
        <v>0</v>
      </c>
      <c r="C3959" s="469"/>
      <c r="D3959" s="475"/>
      <c r="E3959" s="472">
        <f t="shared" si="1198"/>
        <v>0</v>
      </c>
      <c r="F3959" s="475">
        <f>IF(C3959="",0,IFERROR(VLOOKUP(COUNTIF($A$1:A3959,"ANALISIS DE PRECIOS"),T_Rendimiento_Equipo,5,FALSE),0))</f>
        <v>0</v>
      </c>
      <c r="G3959" s="472">
        <f t="shared" si="1199"/>
        <v>0</v>
      </c>
    </row>
    <row r="3960" spans="1:7" ht="19.899999999999999" customHeight="1">
      <c r="A3960" s="515">
        <f t="shared" si="1196"/>
        <v>0</v>
      </c>
      <c r="B3960" s="478">
        <f t="shared" si="1197"/>
        <v>0</v>
      </c>
      <c r="C3960" s="469"/>
      <c r="D3960" s="475"/>
      <c r="E3960" s="472">
        <f t="shared" si="1198"/>
        <v>0</v>
      </c>
      <c r="F3960" s="475">
        <f>IF(C3960="",0,IFERROR(VLOOKUP(COUNTIF($A$1:A3960,"ANALISIS DE PRECIOS"),T_Rendimiento_Equipo,5,FALSE),0))</f>
        <v>0</v>
      </c>
      <c r="G3960" s="472">
        <f t="shared" si="1199"/>
        <v>0</v>
      </c>
    </row>
    <row r="3961" spans="1:7" ht="19.899999999999999" customHeight="1">
      <c r="A3961" s="515">
        <f t="shared" si="1196"/>
        <v>0</v>
      </c>
      <c r="B3961" s="478">
        <f t="shared" si="1197"/>
        <v>0</v>
      </c>
      <c r="C3961" s="469"/>
      <c r="D3961" s="475"/>
      <c r="E3961" s="472">
        <f t="shared" si="1198"/>
        <v>0</v>
      </c>
      <c r="F3961" s="475">
        <f>IF(C3961="",0,IFERROR(VLOOKUP(COUNTIF($A$1:A3961,"ANALISIS DE PRECIOS"),T_Rendimiento_Equipo,5,FALSE),0))</f>
        <v>0</v>
      </c>
      <c r="G3961" s="472">
        <f t="shared" si="1199"/>
        <v>0</v>
      </c>
    </row>
    <row r="3962" spans="1:7" ht="19.899999999999999" customHeight="1">
      <c r="A3962" s="515">
        <f t="shared" si="1196"/>
        <v>0</v>
      </c>
      <c r="B3962" s="478">
        <f t="shared" si="1197"/>
        <v>0</v>
      </c>
      <c r="C3962" s="469"/>
      <c r="D3962" s="483"/>
      <c r="E3962" s="472">
        <f t="shared" si="1198"/>
        <v>0</v>
      </c>
      <c r="F3962" s="475">
        <f>IF(C3962="",0,IFERROR(VLOOKUP(COUNTIF($A$1:A3962,"ANALISIS DE PRECIOS"),T_Rendimiento_Equipo,5,FALSE),0))</f>
        <v>0</v>
      </c>
      <c r="G3962" s="472">
        <f t="shared" si="1199"/>
        <v>0</v>
      </c>
    </row>
    <row r="3963" spans="1:7" ht="19.899999999999999" customHeight="1">
      <c r="A3963" s="515">
        <f t="shared" si="1196"/>
        <v>0</v>
      </c>
      <c r="B3963" s="478">
        <f t="shared" si="1197"/>
        <v>0</v>
      </c>
      <c r="C3963" s="478"/>
      <c r="D3963" s="484"/>
      <c r="E3963" s="472">
        <f t="shared" si="1198"/>
        <v>0</v>
      </c>
      <c r="F3963" s="475">
        <f>IF(C3963="",0,IFERROR(VLOOKUP(COUNTIF($A$1:A3963,"ANALISIS DE PRECIOS"),T_Rendimiento_Equipo,5,FALSE),0))</f>
        <v>0</v>
      </c>
      <c r="G3963" s="472">
        <f t="shared" si="1199"/>
        <v>0</v>
      </c>
    </row>
    <row r="3964" spans="1:7" ht="19.899999999999999" customHeight="1">
      <c r="A3964" s="516"/>
      <c r="B3964" s="459"/>
      <c r="C3964" s="163"/>
      <c r="D3964" s="459"/>
      <c r="E3964" s="460"/>
      <c r="F3964" s="650" t="s">
        <v>27</v>
      </c>
      <c r="G3964" s="518">
        <f>SUBTOTAL(9,G3957:G3963)</f>
        <v>0</v>
      </c>
    </row>
    <row r="3965" spans="1:7" ht="19.899999999999999" customHeight="1">
      <c r="A3965" s="513"/>
      <c r="B3965" s="163"/>
      <c r="C3965" s="455" t="s">
        <v>1013</v>
      </c>
      <c r="D3965" s="459"/>
      <c r="E3965" s="460"/>
      <c r="F3965" s="461"/>
      <c r="G3965" s="514"/>
    </row>
    <row r="3966" spans="1:7" ht="19.899999999999999" customHeight="1">
      <c r="A3966" s="677" t="s">
        <v>575</v>
      </c>
      <c r="B3966" s="678"/>
      <c r="C3966" s="679" t="s">
        <v>0</v>
      </c>
      <c r="D3966" s="679" t="s">
        <v>1865</v>
      </c>
      <c r="E3966" s="681" t="s">
        <v>23</v>
      </c>
      <c r="F3966" s="683" t="s">
        <v>24</v>
      </c>
      <c r="G3966" s="685" t="s">
        <v>25</v>
      </c>
    </row>
    <row r="3967" spans="1:7" ht="19.899999999999999" customHeight="1">
      <c r="A3967" s="477" t="s">
        <v>576</v>
      </c>
      <c r="B3967" s="477" t="s">
        <v>577</v>
      </c>
      <c r="C3967" s="680"/>
      <c r="D3967" s="680"/>
      <c r="E3967" s="682"/>
      <c r="F3967" s="684"/>
      <c r="G3967" s="686"/>
    </row>
    <row r="3968" spans="1:7" ht="19.899999999999999" customHeight="1">
      <c r="A3968" s="515">
        <f t="shared" ref="A3968:A3978" si="1200">IFERROR(VLOOKUP(C3968,T_Insumos,4,FALSE),0)</f>
        <v>0</v>
      </c>
      <c r="B3968" s="478">
        <f t="shared" ref="B3968:B3978" si="1201">IFERROR(VLOOKUP(C3968,T_Insumos,5,FALSE),0)</f>
        <v>0</v>
      </c>
      <c r="C3968" s="478"/>
      <c r="D3968" s="526">
        <f t="shared" ref="D3968:D3978" si="1202">IFERROR(VLOOKUP(C3968,T_Insumos,2,FALSE),0)</f>
        <v>0</v>
      </c>
      <c r="E3968" s="470"/>
      <c r="F3968" s="472">
        <f t="shared" ref="F3968:F3978" si="1203">IFERROR(VLOOKUP(C3968,T_Insumos,3,FALSE),0)</f>
        <v>0</v>
      </c>
      <c r="G3968" s="472">
        <f>ROUND(E3968*F3968,2)</f>
        <v>0</v>
      </c>
    </row>
    <row r="3969" spans="1:7" ht="19.899999999999999" customHeight="1">
      <c r="A3969" s="515">
        <f t="shared" si="1200"/>
        <v>0</v>
      </c>
      <c r="B3969" s="478">
        <f t="shared" si="1201"/>
        <v>0</v>
      </c>
      <c r="C3969" s="478"/>
      <c r="D3969" s="526">
        <f t="shared" si="1202"/>
        <v>0</v>
      </c>
      <c r="E3969" s="470"/>
      <c r="F3969" s="472">
        <f t="shared" si="1203"/>
        <v>0</v>
      </c>
      <c r="G3969" s="472">
        <f t="shared" ref="G3969:G3978" si="1204">ROUND(E3969*F3969,2)</f>
        <v>0</v>
      </c>
    </row>
    <row r="3970" spans="1:7" ht="19.899999999999999" customHeight="1">
      <c r="A3970" s="515">
        <f t="shared" si="1200"/>
        <v>0</v>
      </c>
      <c r="B3970" s="478">
        <f t="shared" si="1201"/>
        <v>0</v>
      </c>
      <c r="C3970" s="478"/>
      <c r="D3970" s="526">
        <f t="shared" si="1202"/>
        <v>0</v>
      </c>
      <c r="E3970" s="470"/>
      <c r="F3970" s="472">
        <f t="shared" si="1203"/>
        <v>0</v>
      </c>
      <c r="G3970" s="472">
        <f t="shared" si="1204"/>
        <v>0</v>
      </c>
    </row>
    <row r="3971" spans="1:7" ht="19.899999999999999" customHeight="1">
      <c r="A3971" s="515">
        <f t="shared" si="1200"/>
        <v>0</v>
      </c>
      <c r="B3971" s="478">
        <f t="shared" si="1201"/>
        <v>0</v>
      </c>
      <c r="C3971" s="478"/>
      <c r="D3971" s="526">
        <f t="shared" si="1202"/>
        <v>0</v>
      </c>
      <c r="E3971" s="470"/>
      <c r="F3971" s="472">
        <f t="shared" si="1203"/>
        <v>0</v>
      </c>
      <c r="G3971" s="472">
        <f t="shared" si="1204"/>
        <v>0</v>
      </c>
    </row>
    <row r="3972" spans="1:7" ht="19.899999999999999" customHeight="1">
      <c r="A3972" s="515">
        <f t="shared" si="1200"/>
        <v>0</v>
      </c>
      <c r="B3972" s="478">
        <f t="shared" si="1201"/>
        <v>0</v>
      </c>
      <c r="C3972" s="478"/>
      <c r="D3972" s="526">
        <f t="shared" si="1202"/>
        <v>0</v>
      </c>
      <c r="E3972" s="470"/>
      <c r="F3972" s="472">
        <f t="shared" si="1203"/>
        <v>0</v>
      </c>
      <c r="G3972" s="472">
        <f t="shared" si="1204"/>
        <v>0</v>
      </c>
    </row>
    <row r="3973" spans="1:7" ht="19.899999999999999" customHeight="1">
      <c r="A3973" s="515">
        <f t="shared" si="1200"/>
        <v>0</v>
      </c>
      <c r="B3973" s="478">
        <f t="shared" si="1201"/>
        <v>0</v>
      </c>
      <c r="C3973" s="478"/>
      <c r="D3973" s="526">
        <f t="shared" si="1202"/>
        <v>0</v>
      </c>
      <c r="E3973" s="470"/>
      <c r="F3973" s="472">
        <f t="shared" si="1203"/>
        <v>0</v>
      </c>
      <c r="G3973" s="472">
        <f t="shared" si="1204"/>
        <v>0</v>
      </c>
    </row>
    <row r="3974" spans="1:7" ht="19.899999999999999" customHeight="1">
      <c r="A3974" s="515">
        <f t="shared" si="1200"/>
        <v>0</v>
      </c>
      <c r="B3974" s="478">
        <f t="shared" si="1201"/>
        <v>0</v>
      </c>
      <c r="C3974" s="478"/>
      <c r="D3974" s="526">
        <f t="shared" si="1202"/>
        <v>0</v>
      </c>
      <c r="E3974" s="470"/>
      <c r="F3974" s="472">
        <f t="shared" si="1203"/>
        <v>0</v>
      </c>
      <c r="G3974" s="472">
        <f t="shared" si="1204"/>
        <v>0</v>
      </c>
    </row>
    <row r="3975" spans="1:7" ht="19.899999999999999" customHeight="1">
      <c r="A3975" s="515">
        <f t="shared" si="1200"/>
        <v>0</v>
      </c>
      <c r="B3975" s="478">
        <f t="shared" si="1201"/>
        <v>0</v>
      </c>
      <c r="C3975" s="478"/>
      <c r="D3975" s="526">
        <f t="shared" si="1202"/>
        <v>0</v>
      </c>
      <c r="E3975" s="470"/>
      <c r="F3975" s="472">
        <f t="shared" si="1203"/>
        <v>0</v>
      </c>
      <c r="G3975" s="472">
        <f t="shared" si="1204"/>
        <v>0</v>
      </c>
    </row>
    <row r="3976" spans="1:7" ht="19.899999999999999" customHeight="1">
      <c r="A3976" s="515">
        <f t="shared" si="1200"/>
        <v>0</v>
      </c>
      <c r="B3976" s="478">
        <f t="shared" si="1201"/>
        <v>0</v>
      </c>
      <c r="C3976" s="478"/>
      <c r="D3976" s="526">
        <f t="shared" si="1202"/>
        <v>0</v>
      </c>
      <c r="E3976" s="470"/>
      <c r="F3976" s="472">
        <f t="shared" si="1203"/>
        <v>0</v>
      </c>
      <c r="G3976" s="472">
        <f t="shared" si="1204"/>
        <v>0</v>
      </c>
    </row>
    <row r="3977" spans="1:7" ht="19.899999999999999" customHeight="1">
      <c r="A3977" s="515">
        <f t="shared" si="1200"/>
        <v>0</v>
      </c>
      <c r="B3977" s="478">
        <f t="shared" si="1201"/>
        <v>0</v>
      </c>
      <c r="C3977" s="478"/>
      <c r="D3977" s="526">
        <f t="shared" si="1202"/>
        <v>0</v>
      </c>
      <c r="E3977" s="470"/>
      <c r="F3977" s="472">
        <f t="shared" si="1203"/>
        <v>0</v>
      </c>
      <c r="G3977" s="472">
        <f t="shared" si="1204"/>
        <v>0</v>
      </c>
    </row>
    <row r="3978" spans="1:7" ht="19.899999999999999" customHeight="1">
      <c r="A3978" s="515">
        <f t="shared" si="1200"/>
        <v>0</v>
      </c>
      <c r="B3978" s="478">
        <f t="shared" si="1201"/>
        <v>0</v>
      </c>
      <c r="C3978" s="478"/>
      <c r="D3978" s="526">
        <f t="shared" si="1202"/>
        <v>0</v>
      </c>
      <c r="E3978" s="470"/>
      <c r="F3978" s="472">
        <f t="shared" si="1203"/>
        <v>0</v>
      </c>
      <c r="G3978" s="472">
        <f t="shared" si="1204"/>
        <v>0</v>
      </c>
    </row>
    <row r="3979" spans="1:7" ht="19.899999999999999" customHeight="1">
      <c r="A3979" s="513"/>
      <c r="B3979" s="163"/>
      <c r="C3979" s="163"/>
      <c r="D3979" s="459"/>
      <c r="E3979" s="460"/>
      <c r="F3979" s="650" t="s">
        <v>28</v>
      </c>
      <c r="G3979" s="518">
        <f>SUBTOTAL(9,G3968:G3978)</f>
        <v>0</v>
      </c>
    </row>
    <row r="3980" spans="1:7" ht="19.899999999999999" customHeight="1">
      <c r="A3980" s="513"/>
      <c r="B3980" s="163"/>
      <c r="C3980" s="455" t="s">
        <v>1014</v>
      </c>
      <c r="D3980" s="459"/>
      <c r="E3980" s="460"/>
      <c r="F3980" s="461"/>
      <c r="G3980" s="514"/>
    </row>
    <row r="3981" spans="1:7" ht="19.899999999999999" customHeight="1">
      <c r="A3981" s="677" t="s">
        <v>575</v>
      </c>
      <c r="B3981" s="678"/>
      <c r="C3981" s="679" t="s">
        <v>0</v>
      </c>
      <c r="D3981" s="679" t="s">
        <v>1865</v>
      </c>
      <c r="E3981" s="681" t="s">
        <v>23</v>
      </c>
      <c r="F3981" s="683" t="s">
        <v>24</v>
      </c>
      <c r="G3981" s="685" t="s">
        <v>25</v>
      </c>
    </row>
    <row r="3982" spans="1:7" ht="19.899999999999999" customHeight="1">
      <c r="A3982" s="477" t="s">
        <v>576</v>
      </c>
      <c r="B3982" s="477" t="s">
        <v>577</v>
      </c>
      <c r="C3982" s="680"/>
      <c r="D3982" s="680"/>
      <c r="E3982" s="682"/>
      <c r="F3982" s="684"/>
      <c r="G3982" s="686"/>
    </row>
    <row r="3983" spans="1:7" ht="19.899999999999999" customHeight="1">
      <c r="A3983" s="515">
        <f>IFERROR(VLOOKUP(C3983,T_Insumos,4,FALSE),0)</f>
        <v>0</v>
      </c>
      <c r="B3983" s="478">
        <f>IFERROR(VLOOKUP(C3983,T_Insumos,5,FALSE),0)</f>
        <v>0</v>
      </c>
      <c r="C3983" s="469"/>
      <c r="D3983" s="526">
        <f>IF(C3983=0,0,"$/tnkm")</f>
        <v>0</v>
      </c>
      <c r="E3983" s="470"/>
      <c r="F3983" s="472">
        <f>IFERROR(VLOOKUP(C3983,T_Insumos,3,FALSE),0)</f>
        <v>0</v>
      </c>
      <c r="G3983" s="472">
        <f>ROUND(E3983*F3983,2)</f>
        <v>0</v>
      </c>
    </row>
    <row r="3984" spans="1:7" ht="19.899999999999999" customHeight="1">
      <c r="A3984" s="515">
        <f>IFERROR(VLOOKUP(C3984,T_Insumos,4,FALSE),0)</f>
        <v>0</v>
      </c>
      <c r="B3984" s="478">
        <f>IFERROR(VLOOKUP(C3984,T_Insumos,5,FALSE),0)</f>
        <v>0</v>
      </c>
      <c r="C3984" s="469"/>
      <c r="D3984" s="526">
        <f>IF(C3984=0,0,"$/tnkm")</f>
        <v>0</v>
      </c>
      <c r="E3984" s="486"/>
      <c r="F3984" s="472">
        <f>IFERROR(VLOOKUP(C3984,T_Insumos,3,FALSE),0)</f>
        <v>0</v>
      </c>
      <c r="G3984" s="472">
        <f t="shared" ref="G3984" si="1205">ROUND(E3984*F3984,2)</f>
        <v>0</v>
      </c>
    </row>
    <row r="3985" spans="1:7" ht="19.899999999999999" customHeight="1">
      <c r="A3985" s="513"/>
      <c r="B3985" s="163"/>
      <c r="C3985" s="163"/>
      <c r="D3985" s="459"/>
      <c r="E3985" s="460"/>
      <c r="F3985" s="650" t="s">
        <v>1015</v>
      </c>
      <c r="G3985" s="518">
        <f>SUBTOTAL(9,G3983:G3984)</f>
        <v>0</v>
      </c>
    </row>
    <row r="3986" spans="1:7" ht="19.899999999999999" customHeight="1">
      <c r="A3986" s="516"/>
      <c r="B3986" s="459"/>
      <c r="C3986" s="163"/>
      <c r="D3986" s="459"/>
      <c r="E3986" s="460"/>
      <c r="F3986" s="461"/>
      <c r="G3986" s="514"/>
    </row>
    <row r="3987" spans="1:7" ht="19.899999999999999" customHeight="1">
      <c r="A3987" s="574" t="str">
        <f>B3921</f>
        <v>6.2.14</v>
      </c>
      <c r="B3987" s="571" t="str">
        <f ca="1">C3921</f>
        <v>Aplicación puente de adherencia y reconstruccion de recubrimiento</v>
      </c>
      <c r="C3987" s="459"/>
      <c r="D3987" s="459" t="s">
        <v>1831</v>
      </c>
      <c r="E3987" s="572"/>
      <c r="F3987" s="573" t="str">
        <f ca="1">"$/"&amp;G3921</f>
        <v>$/m2</v>
      </c>
      <c r="G3987" s="523">
        <f>SUBTOTAL(9,G3944:G3986)</f>
        <v>0</v>
      </c>
    </row>
    <row r="3988" spans="1:7" ht="19.899999999999999" customHeight="1">
      <c r="A3988" s="519"/>
      <c r="B3988" s="520"/>
      <c r="C3988" s="521"/>
      <c r="D3988" s="521" t="s">
        <v>2041</v>
      </c>
      <c r="E3988" s="522"/>
      <c r="F3988" s="575" t="str">
        <f ca="1">"$/"&amp;G3921</f>
        <v>$/m2</v>
      </c>
      <c r="G3988" s="523">
        <f>ROUND(G3987*Coeficiente_Paso,2)</f>
        <v>0</v>
      </c>
    </row>
    <row r="3989" spans="1:7" ht="19.899999999999999" customHeight="1">
      <c r="A3989" s="163"/>
      <c r="B3989" s="163"/>
      <c r="C3989" s="163"/>
      <c r="D3989" s="163"/>
      <c r="E3989" s="163"/>
      <c r="F3989" s="163"/>
      <c r="G3989" s="163"/>
    </row>
    <row r="3990" spans="1:7" ht="19.899999999999999" customHeight="1">
      <c r="A3990" s="687" t="s">
        <v>30</v>
      </c>
      <c r="B3990" s="688"/>
      <c r="C3990" s="688"/>
      <c r="D3990" s="688"/>
      <c r="E3990" s="688"/>
      <c r="F3990" s="688"/>
      <c r="G3990" s="689"/>
    </row>
    <row r="3991" spans="1:7" ht="19.899999999999999" customHeight="1">
      <c r="A3991" s="502" t="s">
        <v>710</v>
      </c>
      <c r="B3991" s="453" t="str">
        <f>Comitente</f>
        <v>DEPARTAMENTO DE HIDRAULICA</v>
      </c>
      <c r="C3991" s="454"/>
      <c r="D3991" s="455"/>
      <c r="E3991" s="455"/>
      <c r="F3991" s="456"/>
      <c r="G3991" s="503"/>
    </row>
    <row r="3992" spans="1:7" ht="19.899999999999999" customHeight="1">
      <c r="A3992" s="502" t="s">
        <v>711</v>
      </c>
      <c r="B3992" s="453">
        <f>Contratista</f>
        <v>0</v>
      </c>
      <c r="C3992" s="457"/>
      <c r="D3992" s="457"/>
      <c r="E3992" s="457"/>
      <c r="F3992" s="453"/>
      <c r="G3992" s="504"/>
    </row>
    <row r="3993" spans="1:7" ht="19.899999999999999" customHeight="1">
      <c r="A3993" s="502" t="s">
        <v>20</v>
      </c>
      <c r="B3993" s="453" t="str">
        <f>Obra</f>
        <v>MEJORA DE LA RED DE RIEGO DEL VALLE DE JÁCHAL</v>
      </c>
      <c r="C3993" s="457"/>
      <c r="D3993" s="457"/>
      <c r="E3993" s="457"/>
      <c r="F3993" s="453" t="s">
        <v>31</v>
      </c>
      <c r="G3993" s="504" t="str">
        <f>Fecha_Base</f>
        <v>XX/07/2020</v>
      </c>
    </row>
    <row r="3994" spans="1:7" ht="19.899999999999999" customHeight="1">
      <c r="A3994" s="505" t="s">
        <v>709</v>
      </c>
      <c r="B3994" s="458" t="str">
        <f>Ubicación</f>
        <v>JACHAL</v>
      </c>
      <c r="C3994" s="458"/>
      <c r="D3994" s="459"/>
      <c r="E3994" s="460"/>
      <c r="F3994" s="461"/>
      <c r="G3994" s="506"/>
    </row>
    <row r="3995" spans="1:7" ht="19.899999999999999" customHeight="1">
      <c r="A3995" s="505" t="s">
        <v>32</v>
      </c>
      <c r="B3995" s="462">
        <f>IFERROR(VALUE(LEFT(B3996,FIND(".",B3996)-1)),"")</f>
        <v>6</v>
      </c>
      <c r="C3995" s="163" t="str">
        <f ca="1">IFERROR(VLOOKUP(B3995,T_Computo_Presupuesto,2,FALSE),0)</f>
        <v>CANAL DEL NORTE</v>
      </c>
      <c r="D3995" s="163"/>
      <c r="E3995" s="460"/>
      <c r="F3995" s="461"/>
      <c r="G3995" s="506"/>
    </row>
    <row r="3996" spans="1:7" ht="19.899999999999999" customHeight="1">
      <c r="A3996" s="505" t="s">
        <v>21</v>
      </c>
      <c r="B3996" s="463" t="str">
        <f>IFERROR(VLOOKUP(COUNTIF($A$1:A3996,"ANALISIS DE PRECIOS"),T_NumeroItem,2,FALSE),"")</f>
        <v>6.2.15</v>
      </c>
      <c r="C3996" s="690" t="str">
        <f ca="1">IFERROR(VLOOKUP(B3996,T_Computo_Presupuesto,2,FALSE),0)</f>
        <v>Juntas constructivas</v>
      </c>
      <c r="D3996" s="690"/>
      <c r="E3996" s="690"/>
      <c r="F3996" s="458" t="s">
        <v>22</v>
      </c>
      <c r="G3996" s="507" t="str">
        <f ca="1">IFERROR(VLOOKUP(B3996,T_Computo_Presupuesto,4,FALSE),0)</f>
        <v>m3</v>
      </c>
    </row>
    <row r="3997" spans="1:7" ht="19.899999999999999" customHeight="1">
      <c r="A3997" s="505"/>
      <c r="B3997" s="458"/>
      <c r="C3997" s="163"/>
      <c r="D3997" s="459"/>
      <c r="E3997" s="460"/>
      <c r="F3997" s="163"/>
      <c r="G3997" s="508"/>
    </row>
    <row r="3998" spans="1:7" ht="19.899999999999999" customHeight="1">
      <c r="A3998" s="509"/>
      <c r="B3998" s="464"/>
      <c r="C3998" s="465" t="s">
        <v>998</v>
      </c>
      <c r="D3998" s="464"/>
      <c r="E3998" s="464"/>
      <c r="F3998" s="464"/>
      <c r="G3998" s="510"/>
    </row>
    <row r="3999" spans="1:7" ht="19.899999999999999" customHeight="1">
      <c r="A3999" s="505"/>
      <c r="B3999" s="466"/>
      <c r="C3999" s="163"/>
      <c r="D3999" s="459"/>
      <c r="E3999" s="460"/>
      <c r="F3999" s="458"/>
      <c r="G3999" s="507"/>
    </row>
    <row r="4000" spans="1:7" ht="19.899999999999999" customHeight="1">
      <c r="A4000" s="505"/>
      <c r="B4000" s="466"/>
      <c r="C4000" s="467" t="s">
        <v>999</v>
      </c>
      <c r="D4000" s="468" t="s">
        <v>23</v>
      </c>
      <c r="E4000" s="468" t="s">
        <v>1000</v>
      </c>
      <c r="F4000" s="468" t="s">
        <v>1001</v>
      </c>
      <c r="G4000" s="467" t="s">
        <v>1002</v>
      </c>
    </row>
    <row r="4001" spans="1:7" ht="19.899999999999999" customHeight="1">
      <c r="A4001" s="505"/>
      <c r="B4001" s="466"/>
      <c r="C4001" s="469"/>
      <c r="D4001" s="470"/>
      <c r="E4001" s="471">
        <f t="shared" ref="E4001:E4010" si="1206">IFERROR(VLOOKUP(C4001,T_Equipos,4,FALSE),0)</f>
        <v>0</v>
      </c>
      <c r="F4001" s="472">
        <f t="shared" ref="F4001:F4010" si="1207">IFERROR(VLOOKUP(C4001,T_Equipos,5,FALSE),0)</f>
        <v>0</v>
      </c>
      <c r="G4001" s="472">
        <f>ROUND(D4001*F4001,2)</f>
        <v>0</v>
      </c>
    </row>
    <row r="4002" spans="1:7" ht="19.899999999999999" customHeight="1">
      <c r="A4002" s="505"/>
      <c r="B4002" s="466"/>
      <c r="C4002" s="469"/>
      <c r="D4002" s="470"/>
      <c r="E4002" s="471">
        <f t="shared" si="1206"/>
        <v>0</v>
      </c>
      <c r="F4002" s="472">
        <f t="shared" si="1207"/>
        <v>0</v>
      </c>
      <c r="G4002" s="472">
        <f>ROUND(D4002*F4002,2)</f>
        <v>0</v>
      </c>
    </row>
    <row r="4003" spans="1:7" ht="19.899999999999999" customHeight="1">
      <c r="A4003" s="505"/>
      <c r="B4003" s="466"/>
      <c r="C4003" s="469"/>
      <c r="D4003" s="470"/>
      <c r="E4003" s="471">
        <f t="shared" si="1206"/>
        <v>0</v>
      </c>
      <c r="F4003" s="472">
        <f t="shared" si="1207"/>
        <v>0</v>
      </c>
      <c r="G4003" s="472">
        <f>ROUND(D4003*F4003,2)</f>
        <v>0</v>
      </c>
    </row>
    <row r="4004" spans="1:7" ht="19.899999999999999" customHeight="1">
      <c r="A4004" s="505"/>
      <c r="B4004" s="466"/>
      <c r="C4004" s="469"/>
      <c r="D4004" s="470"/>
      <c r="E4004" s="471">
        <f t="shared" si="1206"/>
        <v>0</v>
      </c>
      <c r="F4004" s="472">
        <f t="shared" si="1207"/>
        <v>0</v>
      </c>
      <c r="G4004" s="472">
        <f>ROUND(D4004*F4004,2)</f>
        <v>0</v>
      </c>
    </row>
    <row r="4005" spans="1:7" ht="19.899999999999999" customHeight="1">
      <c r="A4005" s="505"/>
      <c r="B4005" s="466"/>
      <c r="C4005" s="469"/>
      <c r="D4005" s="470"/>
      <c r="E4005" s="471">
        <f t="shared" si="1206"/>
        <v>0</v>
      </c>
      <c r="F4005" s="472">
        <f t="shared" si="1207"/>
        <v>0</v>
      </c>
      <c r="G4005" s="472">
        <f t="shared" ref="G4005:G4010" si="1208">ROUND(D4005*F4005,2)</f>
        <v>0</v>
      </c>
    </row>
    <row r="4006" spans="1:7" ht="19.899999999999999" customHeight="1">
      <c r="A4006" s="505"/>
      <c r="B4006" s="466"/>
      <c r="C4006" s="469"/>
      <c r="D4006" s="470"/>
      <c r="E4006" s="471">
        <f t="shared" si="1206"/>
        <v>0</v>
      </c>
      <c r="F4006" s="472">
        <f t="shared" si="1207"/>
        <v>0</v>
      </c>
      <c r="G4006" s="472">
        <f t="shared" si="1208"/>
        <v>0</v>
      </c>
    </row>
    <row r="4007" spans="1:7" ht="19.899999999999999" customHeight="1">
      <c r="A4007" s="505"/>
      <c r="B4007" s="466"/>
      <c r="C4007" s="469"/>
      <c r="D4007" s="470"/>
      <c r="E4007" s="471">
        <f t="shared" si="1206"/>
        <v>0</v>
      </c>
      <c r="F4007" s="472">
        <f t="shared" si="1207"/>
        <v>0</v>
      </c>
      <c r="G4007" s="472">
        <f t="shared" si="1208"/>
        <v>0</v>
      </c>
    </row>
    <row r="4008" spans="1:7" ht="19.899999999999999" customHeight="1">
      <c r="A4008" s="505"/>
      <c r="B4008" s="466"/>
      <c r="C4008" s="469"/>
      <c r="D4008" s="470"/>
      <c r="E4008" s="471">
        <f t="shared" si="1206"/>
        <v>0</v>
      </c>
      <c r="F4008" s="472">
        <f t="shared" si="1207"/>
        <v>0</v>
      </c>
      <c r="G4008" s="472">
        <f t="shared" si="1208"/>
        <v>0</v>
      </c>
    </row>
    <row r="4009" spans="1:7" ht="19.899999999999999" customHeight="1">
      <c r="A4009" s="505"/>
      <c r="B4009" s="466"/>
      <c r="C4009" s="469"/>
      <c r="D4009" s="470"/>
      <c r="E4009" s="471">
        <f t="shared" si="1206"/>
        <v>0</v>
      </c>
      <c r="F4009" s="472">
        <f t="shared" si="1207"/>
        <v>0</v>
      </c>
      <c r="G4009" s="472">
        <f t="shared" si="1208"/>
        <v>0</v>
      </c>
    </row>
    <row r="4010" spans="1:7" ht="19.899999999999999" customHeight="1">
      <c r="A4010" s="505"/>
      <c r="B4010" s="466"/>
      <c r="C4010" s="469"/>
      <c r="D4010" s="470"/>
      <c r="E4010" s="471">
        <f t="shared" si="1206"/>
        <v>0</v>
      </c>
      <c r="F4010" s="472">
        <f t="shared" si="1207"/>
        <v>0</v>
      </c>
      <c r="G4010" s="472">
        <f t="shared" si="1208"/>
        <v>0</v>
      </c>
    </row>
    <row r="4011" spans="1:7" ht="19.899999999999999" customHeight="1">
      <c r="A4011" s="505"/>
      <c r="B4011" s="466"/>
      <c r="C4011" s="163"/>
      <c r="D4011" s="163"/>
      <c r="E4011" s="473"/>
      <c r="F4011" s="458"/>
      <c r="G4011" s="507"/>
    </row>
    <row r="4012" spans="1:7" ht="19.899999999999999" customHeight="1">
      <c r="A4012" s="505"/>
      <c r="B4012" s="163"/>
      <c r="C4012" s="455" t="s">
        <v>1003</v>
      </c>
      <c r="D4012" s="458" t="s">
        <v>1000</v>
      </c>
      <c r="E4012" s="524">
        <f>SUMPRODUCT(D4001:D4010,E4001:E4010)</f>
        <v>0</v>
      </c>
      <c r="F4012" s="458" t="s">
        <v>1004</v>
      </c>
      <c r="G4012" s="525">
        <f>SUM(G4001:G4010)</f>
        <v>0</v>
      </c>
    </row>
    <row r="4013" spans="1:7" ht="19.899999999999999" customHeight="1">
      <c r="A4013" s="505"/>
      <c r="B4013" s="466"/>
      <c r="C4013" s="474"/>
      <c r="D4013" s="473"/>
      <c r="E4013" s="460"/>
      <c r="F4013" s="458"/>
      <c r="G4013" s="511"/>
    </row>
    <row r="4014" spans="1:7" ht="19.899999999999999" customHeight="1">
      <c r="A4014" s="512"/>
      <c r="B4014" s="466"/>
      <c r="C4014" s="458" t="s">
        <v>1005</v>
      </c>
      <c r="D4014" s="475"/>
      <c r="E4014" s="476" t="str">
        <f ca="1">G3996&amp;"/día"</f>
        <v>m3/día</v>
      </c>
      <c r="F4014" s="452"/>
      <c r="G4014" s="507"/>
    </row>
    <row r="4015" spans="1:7" ht="19.899999999999999" customHeight="1">
      <c r="A4015" s="505"/>
      <c r="B4015" s="466"/>
      <c r="C4015" s="163"/>
      <c r="D4015" s="459"/>
      <c r="E4015" s="460"/>
      <c r="F4015" s="458"/>
      <c r="G4015" s="507"/>
    </row>
    <row r="4016" spans="1:7" ht="19.899999999999999" customHeight="1">
      <c r="A4016" s="677" t="s">
        <v>575</v>
      </c>
      <c r="B4016" s="678"/>
      <c r="C4016" s="679" t="s">
        <v>0</v>
      </c>
      <c r="D4016" s="691" t="s">
        <v>1864</v>
      </c>
      <c r="E4016" s="691" t="s">
        <v>1863</v>
      </c>
      <c r="F4016" s="683" t="s">
        <v>1006</v>
      </c>
      <c r="G4016" s="685" t="s">
        <v>25</v>
      </c>
    </row>
    <row r="4017" spans="1:7" ht="19.899999999999999" customHeight="1">
      <c r="A4017" s="477" t="s">
        <v>576</v>
      </c>
      <c r="B4017" s="477" t="s">
        <v>577</v>
      </c>
      <c r="C4017" s="680"/>
      <c r="D4017" s="692"/>
      <c r="E4017" s="682"/>
      <c r="F4017" s="684"/>
      <c r="G4017" s="686"/>
    </row>
    <row r="4018" spans="1:7" ht="19.899999999999999" customHeight="1">
      <c r="A4018" s="513"/>
      <c r="B4018" s="163"/>
      <c r="C4018" s="455" t="s">
        <v>1007</v>
      </c>
      <c r="D4018" s="460"/>
      <c r="E4018" s="460"/>
      <c r="F4018" s="163"/>
      <c r="G4018" s="514"/>
    </row>
    <row r="4019" spans="1:7" ht="19.899999999999999" customHeight="1">
      <c r="A4019" s="515">
        <f t="shared" ref="A4019:A4027" si="1209">IFERROR(VLOOKUP(C4019,T_Insumos,4,FALSE),0)</f>
        <v>0</v>
      </c>
      <c r="B4019" s="478">
        <f t="shared" ref="B4019:B4027" si="1210">IFERROR(VLOOKUP(C4019,T_Insumos,5,FALSE),0)</f>
        <v>0</v>
      </c>
      <c r="C4019" s="469"/>
      <c r="D4019" s="479">
        <f t="shared" ref="D4019:D4027" si="1211">IFERROR(VLOOKUP(C4019,T_Insumos,3,FALSE),0)</f>
        <v>0</v>
      </c>
      <c r="E4019" s="472">
        <f>D4019*$G$23</f>
        <v>0</v>
      </c>
      <c r="F4019" s="475">
        <f>IF(C4019="",0,IFERROR(VLOOKUP(COUNTIF($A$1:A4019,"ANALISIS DE PRECIOS"),T_Rendimiento_Equipo,5,FALSE),0))</f>
        <v>0</v>
      </c>
      <c r="G4019" s="472">
        <f>IFERROR(ROUND(E4019/F4019,2),0)</f>
        <v>0</v>
      </c>
    </row>
    <row r="4020" spans="1:7" ht="19.899999999999999" customHeight="1">
      <c r="A4020" s="515">
        <f t="shared" si="1209"/>
        <v>0</v>
      </c>
      <c r="B4020" s="478">
        <f t="shared" si="1210"/>
        <v>0</v>
      </c>
      <c r="C4020" s="469"/>
      <c r="D4020" s="479">
        <f t="shared" si="1211"/>
        <v>0</v>
      </c>
      <c r="E4020" s="472">
        <f t="shared" ref="E4020:E4027" si="1212">D4020*$G$23</f>
        <v>0</v>
      </c>
      <c r="F4020" s="475">
        <f>IF(C4020="",0,IFERROR(VLOOKUP(COUNTIF($A$1:A4020,"ANALISIS DE PRECIOS"),T_Rendimiento_Equipo,5,FALSE),0))</f>
        <v>0</v>
      </c>
      <c r="G4020" s="472">
        <f t="shared" ref="G4020:G4027" si="1213">IFERROR(ROUND(E4020/F4020,2),0)</f>
        <v>0</v>
      </c>
    </row>
    <row r="4021" spans="1:7" ht="19.899999999999999" customHeight="1">
      <c r="A4021" s="515">
        <f t="shared" si="1209"/>
        <v>0</v>
      </c>
      <c r="B4021" s="478">
        <f t="shared" si="1210"/>
        <v>0</v>
      </c>
      <c r="C4021" s="480"/>
      <c r="D4021" s="479">
        <f t="shared" si="1211"/>
        <v>0</v>
      </c>
      <c r="E4021" s="472">
        <f t="shared" si="1212"/>
        <v>0</v>
      </c>
      <c r="F4021" s="475">
        <f>IF(C4021="",0,IFERROR(VLOOKUP(COUNTIF($A$1:A4021,"ANALISIS DE PRECIOS"),T_Rendimiento_Equipo,5,FALSE),0))</f>
        <v>0</v>
      </c>
      <c r="G4021" s="472">
        <f t="shared" si="1213"/>
        <v>0</v>
      </c>
    </row>
    <row r="4022" spans="1:7" ht="19.899999999999999" customHeight="1">
      <c r="A4022" s="515">
        <f t="shared" si="1209"/>
        <v>0</v>
      </c>
      <c r="B4022" s="478">
        <f t="shared" si="1210"/>
        <v>0</v>
      </c>
      <c r="C4022" s="480"/>
      <c r="D4022" s="479">
        <f t="shared" si="1211"/>
        <v>0</v>
      </c>
      <c r="E4022" s="472">
        <f t="shared" si="1212"/>
        <v>0</v>
      </c>
      <c r="F4022" s="475">
        <f>IF(C4022="",0,IFERROR(VLOOKUP(COUNTIF($A$1:A4022,"ANALISIS DE PRECIOS"),T_Rendimiento_Equipo,5,FALSE),0))</f>
        <v>0</v>
      </c>
      <c r="G4022" s="472">
        <f t="shared" si="1213"/>
        <v>0</v>
      </c>
    </row>
    <row r="4023" spans="1:7" ht="19.899999999999999" customHeight="1">
      <c r="A4023" s="515">
        <f t="shared" si="1209"/>
        <v>0</v>
      </c>
      <c r="B4023" s="478">
        <f t="shared" si="1210"/>
        <v>0</v>
      </c>
      <c r="C4023" s="480"/>
      <c r="D4023" s="479">
        <f t="shared" si="1211"/>
        <v>0</v>
      </c>
      <c r="E4023" s="472">
        <f t="shared" si="1212"/>
        <v>0</v>
      </c>
      <c r="F4023" s="475">
        <f>IF(C4023="",0,IFERROR(VLOOKUP(COUNTIF($A$1:A4023,"ANALISIS DE PRECIOS"),T_Rendimiento_Equipo,5,FALSE),0))</f>
        <v>0</v>
      </c>
      <c r="G4023" s="472">
        <f t="shared" si="1213"/>
        <v>0</v>
      </c>
    </row>
    <row r="4024" spans="1:7" ht="19.899999999999999" customHeight="1">
      <c r="A4024" s="515">
        <f t="shared" si="1209"/>
        <v>0</v>
      </c>
      <c r="B4024" s="478">
        <f t="shared" si="1210"/>
        <v>0</v>
      </c>
      <c r="C4024" s="480"/>
      <c r="D4024" s="479">
        <f t="shared" si="1211"/>
        <v>0</v>
      </c>
      <c r="E4024" s="472">
        <f t="shared" si="1212"/>
        <v>0</v>
      </c>
      <c r="F4024" s="475">
        <f>IF(C4024="",0,IFERROR(VLOOKUP(COUNTIF($A$1:A4024,"ANALISIS DE PRECIOS"),T_Rendimiento_Equipo,5,FALSE),0))</f>
        <v>0</v>
      </c>
      <c r="G4024" s="472">
        <f t="shared" si="1213"/>
        <v>0</v>
      </c>
    </row>
    <row r="4025" spans="1:7" ht="19.899999999999999" customHeight="1">
      <c r="A4025" s="515">
        <f t="shared" si="1209"/>
        <v>0</v>
      </c>
      <c r="B4025" s="478">
        <f t="shared" si="1210"/>
        <v>0</v>
      </c>
      <c r="C4025" s="480"/>
      <c r="D4025" s="479">
        <f t="shared" si="1211"/>
        <v>0</v>
      </c>
      <c r="E4025" s="472">
        <f t="shared" si="1212"/>
        <v>0</v>
      </c>
      <c r="F4025" s="475">
        <f>IF(C4025="",0,IFERROR(VLOOKUP(COUNTIF($A$1:A4025,"ANALISIS DE PRECIOS"),T_Rendimiento_Equipo,5,FALSE),0))</f>
        <v>0</v>
      </c>
      <c r="G4025" s="472">
        <f t="shared" si="1213"/>
        <v>0</v>
      </c>
    </row>
    <row r="4026" spans="1:7" ht="19.899999999999999" customHeight="1">
      <c r="A4026" s="515">
        <f t="shared" si="1209"/>
        <v>0</v>
      </c>
      <c r="B4026" s="478">
        <f t="shared" si="1210"/>
        <v>0</v>
      </c>
      <c r="C4026" s="480"/>
      <c r="D4026" s="479">
        <f t="shared" si="1211"/>
        <v>0</v>
      </c>
      <c r="E4026" s="472">
        <f t="shared" si="1212"/>
        <v>0</v>
      </c>
      <c r="F4026" s="475">
        <f>IF(C4026="",0,IFERROR(VLOOKUP(COUNTIF($A$1:A4026,"ANALISIS DE PRECIOS"),T_Rendimiento_Equipo,5,FALSE),0))</f>
        <v>0</v>
      </c>
      <c r="G4026" s="472">
        <f t="shared" si="1213"/>
        <v>0</v>
      </c>
    </row>
    <row r="4027" spans="1:7" ht="19.899999999999999" customHeight="1">
      <c r="A4027" s="515">
        <f t="shared" si="1209"/>
        <v>0</v>
      </c>
      <c r="B4027" s="478">
        <f t="shared" si="1210"/>
        <v>0</v>
      </c>
      <c r="C4027" s="469"/>
      <c r="D4027" s="479">
        <f t="shared" si="1211"/>
        <v>0</v>
      </c>
      <c r="E4027" s="472">
        <f t="shared" si="1212"/>
        <v>0</v>
      </c>
      <c r="F4027" s="475">
        <f>IF(C4027="",0,IFERROR(VLOOKUP(COUNTIF($A$1:A4027,"ANALISIS DE PRECIOS"),T_Rendimiento_Equipo,5,FALSE),0))</f>
        <v>0</v>
      </c>
      <c r="G4027" s="472">
        <f t="shared" si="1213"/>
        <v>0</v>
      </c>
    </row>
    <row r="4028" spans="1:7" ht="19.899999999999999" customHeight="1">
      <c r="A4028" s="516"/>
      <c r="B4028" s="459"/>
      <c r="C4028" s="163"/>
      <c r="D4028" s="459"/>
      <c r="E4028" s="460"/>
      <c r="F4028" s="655" t="s">
        <v>26</v>
      </c>
      <c r="G4028" s="517">
        <f>SUBTOTAL(9,G4019:G4027)</f>
        <v>0</v>
      </c>
    </row>
    <row r="4029" spans="1:7" ht="19.899999999999999" customHeight="1">
      <c r="A4029" s="513"/>
      <c r="B4029" s="163"/>
      <c r="C4029" s="455" t="s">
        <v>712</v>
      </c>
      <c r="D4029" s="459"/>
      <c r="E4029" s="460"/>
      <c r="F4029" s="461"/>
      <c r="G4029" s="514"/>
    </row>
    <row r="4030" spans="1:7" ht="19.899999999999999" customHeight="1">
      <c r="A4030" s="677" t="s">
        <v>575</v>
      </c>
      <c r="B4030" s="678"/>
      <c r="C4030" s="679" t="s">
        <v>0</v>
      </c>
      <c r="D4030" s="681" t="s">
        <v>23</v>
      </c>
      <c r="E4030" s="681" t="s">
        <v>1830</v>
      </c>
      <c r="F4030" s="683" t="s">
        <v>1006</v>
      </c>
      <c r="G4030" s="685" t="s">
        <v>25</v>
      </c>
    </row>
    <row r="4031" spans="1:7" ht="19.899999999999999" customHeight="1">
      <c r="A4031" s="477" t="s">
        <v>576</v>
      </c>
      <c r="B4031" s="477" t="s">
        <v>577</v>
      </c>
      <c r="C4031" s="680"/>
      <c r="D4031" s="682"/>
      <c r="E4031" s="682"/>
      <c r="F4031" s="684"/>
      <c r="G4031" s="686"/>
    </row>
    <row r="4032" spans="1:7" ht="19.899999999999999" customHeight="1">
      <c r="A4032" s="515">
        <f t="shared" ref="A4032:A4038" si="1214">IFERROR(VLOOKUP(C4032,T_Insumos,4,FALSE),0)</f>
        <v>0</v>
      </c>
      <c r="B4032" s="478">
        <f t="shared" ref="B4032:B4038" si="1215">IFERROR(VLOOKUP(C4032,T_Insumos,5,FALSE),0)</f>
        <v>0</v>
      </c>
      <c r="C4032" s="482"/>
      <c r="D4032" s="475"/>
      <c r="E4032" s="472">
        <f t="shared" ref="E4032:E4038" si="1216">IFERROR(VLOOKUP(C4032,T_Insumos,3,FALSE),0)</f>
        <v>0</v>
      </c>
      <c r="F4032" s="475">
        <f>IF(C4032="",0,IFERROR(VLOOKUP(COUNTIF($A$1:A4032,"ANALISIS DE PRECIOS"),T_Rendimiento_Equipo,5,FALSE),0))</f>
        <v>0</v>
      </c>
      <c r="G4032" s="472">
        <f>IFERROR(ROUND(D4032*E4032/F4032,2),0)</f>
        <v>0</v>
      </c>
    </row>
    <row r="4033" spans="1:7" ht="19.899999999999999" customHeight="1">
      <c r="A4033" s="515">
        <f t="shared" si="1214"/>
        <v>0</v>
      </c>
      <c r="B4033" s="478">
        <f t="shared" si="1215"/>
        <v>0</v>
      </c>
      <c r="C4033" s="469"/>
      <c r="D4033" s="475"/>
      <c r="E4033" s="472">
        <f t="shared" si="1216"/>
        <v>0</v>
      </c>
      <c r="F4033" s="475">
        <f>IF(C4033="",0,IFERROR(VLOOKUP(COUNTIF($A$1:A4033,"ANALISIS DE PRECIOS"),T_Rendimiento_Equipo,5,FALSE),0))</f>
        <v>0</v>
      </c>
      <c r="G4033" s="472">
        <f t="shared" ref="G4033:G4038" si="1217">IFERROR(ROUND(D4033*E4033/F4033,2),0)</f>
        <v>0</v>
      </c>
    </row>
    <row r="4034" spans="1:7" ht="19.899999999999999" customHeight="1">
      <c r="A4034" s="515">
        <f t="shared" si="1214"/>
        <v>0</v>
      </c>
      <c r="B4034" s="478">
        <f t="shared" si="1215"/>
        <v>0</v>
      </c>
      <c r="C4034" s="469"/>
      <c r="D4034" s="475"/>
      <c r="E4034" s="472">
        <f t="shared" si="1216"/>
        <v>0</v>
      </c>
      <c r="F4034" s="475">
        <f>IF(C4034="",0,IFERROR(VLOOKUP(COUNTIF($A$1:A4034,"ANALISIS DE PRECIOS"),T_Rendimiento_Equipo,5,FALSE),0))</f>
        <v>0</v>
      </c>
      <c r="G4034" s="472">
        <f t="shared" si="1217"/>
        <v>0</v>
      </c>
    </row>
    <row r="4035" spans="1:7" ht="19.899999999999999" customHeight="1">
      <c r="A4035" s="515">
        <f t="shared" si="1214"/>
        <v>0</v>
      </c>
      <c r="B4035" s="478">
        <f t="shared" si="1215"/>
        <v>0</v>
      </c>
      <c r="C4035" s="469"/>
      <c r="D4035" s="475"/>
      <c r="E4035" s="472">
        <f t="shared" si="1216"/>
        <v>0</v>
      </c>
      <c r="F4035" s="475">
        <f>IF(C4035="",0,IFERROR(VLOOKUP(COUNTIF($A$1:A4035,"ANALISIS DE PRECIOS"),T_Rendimiento_Equipo,5,FALSE),0))</f>
        <v>0</v>
      </c>
      <c r="G4035" s="472">
        <f t="shared" si="1217"/>
        <v>0</v>
      </c>
    </row>
    <row r="4036" spans="1:7" ht="19.899999999999999" customHeight="1">
      <c r="A4036" s="515">
        <f t="shared" si="1214"/>
        <v>0</v>
      </c>
      <c r="B4036" s="478">
        <f t="shared" si="1215"/>
        <v>0</v>
      </c>
      <c r="C4036" s="469"/>
      <c r="D4036" s="475"/>
      <c r="E4036" s="472">
        <f t="shared" si="1216"/>
        <v>0</v>
      </c>
      <c r="F4036" s="475">
        <f>IF(C4036="",0,IFERROR(VLOOKUP(COUNTIF($A$1:A4036,"ANALISIS DE PRECIOS"),T_Rendimiento_Equipo,5,FALSE),0))</f>
        <v>0</v>
      </c>
      <c r="G4036" s="472">
        <f t="shared" si="1217"/>
        <v>0</v>
      </c>
    </row>
    <row r="4037" spans="1:7" ht="19.899999999999999" customHeight="1">
      <c r="A4037" s="515">
        <f t="shared" si="1214"/>
        <v>0</v>
      </c>
      <c r="B4037" s="478">
        <f t="shared" si="1215"/>
        <v>0</v>
      </c>
      <c r="C4037" s="469"/>
      <c r="D4037" s="483"/>
      <c r="E4037" s="472">
        <f t="shared" si="1216"/>
        <v>0</v>
      </c>
      <c r="F4037" s="475">
        <f>IF(C4037="",0,IFERROR(VLOOKUP(COUNTIF($A$1:A4037,"ANALISIS DE PRECIOS"),T_Rendimiento_Equipo,5,FALSE),0))</f>
        <v>0</v>
      </c>
      <c r="G4037" s="472">
        <f t="shared" si="1217"/>
        <v>0</v>
      </c>
    </row>
    <row r="4038" spans="1:7" ht="19.899999999999999" customHeight="1">
      <c r="A4038" s="515">
        <f t="shared" si="1214"/>
        <v>0</v>
      </c>
      <c r="B4038" s="478">
        <f t="shared" si="1215"/>
        <v>0</v>
      </c>
      <c r="C4038" s="478"/>
      <c r="D4038" s="484"/>
      <c r="E4038" s="472">
        <f t="shared" si="1216"/>
        <v>0</v>
      </c>
      <c r="F4038" s="475">
        <f>IF(C4038="",0,IFERROR(VLOOKUP(COUNTIF($A$1:A4038,"ANALISIS DE PRECIOS"),T_Rendimiento_Equipo,5,FALSE),0))</f>
        <v>0</v>
      </c>
      <c r="G4038" s="472">
        <f t="shared" si="1217"/>
        <v>0</v>
      </c>
    </row>
    <row r="4039" spans="1:7" ht="19.899999999999999" customHeight="1">
      <c r="A4039" s="516"/>
      <c r="B4039" s="459"/>
      <c r="C4039" s="163"/>
      <c r="D4039" s="459"/>
      <c r="E4039" s="460"/>
      <c r="F4039" s="655" t="s">
        <v>27</v>
      </c>
      <c r="G4039" s="518">
        <f>SUBTOTAL(9,G4032:G4038)</f>
        <v>0</v>
      </c>
    </row>
    <row r="4040" spans="1:7" ht="19.899999999999999" customHeight="1">
      <c r="A4040" s="513"/>
      <c r="B4040" s="163"/>
      <c r="C4040" s="455" t="s">
        <v>1013</v>
      </c>
      <c r="D4040" s="459"/>
      <c r="E4040" s="460"/>
      <c r="F4040" s="461"/>
      <c r="G4040" s="514"/>
    </row>
    <row r="4041" spans="1:7" ht="19.899999999999999" customHeight="1">
      <c r="A4041" s="677" t="s">
        <v>575</v>
      </c>
      <c r="B4041" s="678"/>
      <c r="C4041" s="679" t="s">
        <v>0</v>
      </c>
      <c r="D4041" s="679" t="s">
        <v>1865</v>
      </c>
      <c r="E4041" s="681" t="s">
        <v>23</v>
      </c>
      <c r="F4041" s="683" t="s">
        <v>24</v>
      </c>
      <c r="G4041" s="685" t="s">
        <v>25</v>
      </c>
    </row>
    <row r="4042" spans="1:7" ht="19.899999999999999" customHeight="1">
      <c r="A4042" s="477" t="s">
        <v>576</v>
      </c>
      <c r="B4042" s="477" t="s">
        <v>577</v>
      </c>
      <c r="C4042" s="680"/>
      <c r="D4042" s="680"/>
      <c r="E4042" s="682"/>
      <c r="F4042" s="684"/>
      <c r="G4042" s="686"/>
    </row>
    <row r="4043" spans="1:7" ht="19.899999999999999" customHeight="1">
      <c r="A4043" s="515">
        <f t="shared" ref="A4043:A4053" si="1218">IFERROR(VLOOKUP(C4043,T_Insumos,4,FALSE),0)</f>
        <v>0</v>
      </c>
      <c r="B4043" s="478">
        <f t="shared" ref="B4043:B4053" si="1219">IFERROR(VLOOKUP(C4043,T_Insumos,5,FALSE),0)</f>
        <v>0</v>
      </c>
      <c r="C4043" s="478"/>
      <c r="D4043" s="526">
        <f t="shared" ref="D4043:D4053" si="1220">IFERROR(VLOOKUP(C4043,T_Insumos,2,FALSE),0)</f>
        <v>0</v>
      </c>
      <c r="E4043" s="470"/>
      <c r="F4043" s="472">
        <f t="shared" ref="F4043:F4053" si="1221">IFERROR(VLOOKUP(C4043,T_Insumos,3,FALSE),0)</f>
        <v>0</v>
      </c>
      <c r="G4043" s="472">
        <f>ROUND(E4043*F4043,2)</f>
        <v>0</v>
      </c>
    </row>
    <row r="4044" spans="1:7" ht="19.899999999999999" customHeight="1">
      <c r="A4044" s="515">
        <f t="shared" si="1218"/>
        <v>0</v>
      </c>
      <c r="B4044" s="478">
        <f t="shared" si="1219"/>
        <v>0</v>
      </c>
      <c r="C4044" s="478"/>
      <c r="D4044" s="526">
        <f t="shared" si="1220"/>
        <v>0</v>
      </c>
      <c r="E4044" s="470"/>
      <c r="F4044" s="472">
        <f t="shared" si="1221"/>
        <v>0</v>
      </c>
      <c r="G4044" s="472">
        <f t="shared" ref="G4044:G4053" si="1222">ROUND(E4044*F4044,2)</f>
        <v>0</v>
      </c>
    </row>
    <row r="4045" spans="1:7" ht="19.899999999999999" customHeight="1">
      <c r="A4045" s="515">
        <f t="shared" si="1218"/>
        <v>0</v>
      </c>
      <c r="B4045" s="478">
        <f t="shared" si="1219"/>
        <v>0</v>
      </c>
      <c r="C4045" s="478"/>
      <c r="D4045" s="526">
        <f t="shared" si="1220"/>
        <v>0</v>
      </c>
      <c r="E4045" s="470"/>
      <c r="F4045" s="472">
        <f t="shared" si="1221"/>
        <v>0</v>
      </c>
      <c r="G4045" s="472">
        <f t="shared" si="1222"/>
        <v>0</v>
      </c>
    </row>
    <row r="4046" spans="1:7" ht="19.899999999999999" customHeight="1">
      <c r="A4046" s="515">
        <f t="shared" si="1218"/>
        <v>0</v>
      </c>
      <c r="B4046" s="478">
        <f t="shared" si="1219"/>
        <v>0</v>
      </c>
      <c r="C4046" s="478"/>
      <c r="D4046" s="526">
        <f t="shared" si="1220"/>
        <v>0</v>
      </c>
      <c r="E4046" s="470"/>
      <c r="F4046" s="472">
        <f t="shared" si="1221"/>
        <v>0</v>
      </c>
      <c r="G4046" s="472">
        <f t="shared" si="1222"/>
        <v>0</v>
      </c>
    </row>
    <row r="4047" spans="1:7" ht="19.899999999999999" customHeight="1">
      <c r="A4047" s="515">
        <f t="shared" si="1218"/>
        <v>0</v>
      </c>
      <c r="B4047" s="478">
        <f t="shared" si="1219"/>
        <v>0</v>
      </c>
      <c r="C4047" s="478"/>
      <c r="D4047" s="526">
        <f t="shared" si="1220"/>
        <v>0</v>
      </c>
      <c r="E4047" s="470"/>
      <c r="F4047" s="472">
        <f t="shared" si="1221"/>
        <v>0</v>
      </c>
      <c r="G4047" s="472">
        <f t="shared" si="1222"/>
        <v>0</v>
      </c>
    </row>
    <row r="4048" spans="1:7" ht="19.899999999999999" customHeight="1">
      <c r="A4048" s="515">
        <f t="shared" si="1218"/>
        <v>0</v>
      </c>
      <c r="B4048" s="478">
        <f t="shared" si="1219"/>
        <v>0</v>
      </c>
      <c r="C4048" s="478"/>
      <c r="D4048" s="526">
        <f t="shared" si="1220"/>
        <v>0</v>
      </c>
      <c r="E4048" s="470"/>
      <c r="F4048" s="472">
        <f t="shared" si="1221"/>
        <v>0</v>
      </c>
      <c r="G4048" s="472">
        <f t="shared" si="1222"/>
        <v>0</v>
      </c>
    </row>
    <row r="4049" spans="1:7" ht="19.899999999999999" customHeight="1">
      <c r="A4049" s="515">
        <f t="shared" si="1218"/>
        <v>0</v>
      </c>
      <c r="B4049" s="478">
        <f t="shared" si="1219"/>
        <v>0</v>
      </c>
      <c r="C4049" s="478"/>
      <c r="D4049" s="526">
        <f t="shared" si="1220"/>
        <v>0</v>
      </c>
      <c r="E4049" s="470"/>
      <c r="F4049" s="472">
        <f t="shared" si="1221"/>
        <v>0</v>
      </c>
      <c r="G4049" s="472">
        <f t="shared" si="1222"/>
        <v>0</v>
      </c>
    </row>
    <row r="4050" spans="1:7" ht="19.899999999999999" customHeight="1">
      <c r="A4050" s="515">
        <f t="shared" si="1218"/>
        <v>0</v>
      </c>
      <c r="B4050" s="478">
        <f t="shared" si="1219"/>
        <v>0</v>
      </c>
      <c r="C4050" s="478"/>
      <c r="D4050" s="526">
        <f t="shared" si="1220"/>
        <v>0</v>
      </c>
      <c r="E4050" s="470"/>
      <c r="F4050" s="472">
        <f t="shared" si="1221"/>
        <v>0</v>
      </c>
      <c r="G4050" s="472">
        <f t="shared" si="1222"/>
        <v>0</v>
      </c>
    </row>
    <row r="4051" spans="1:7" ht="19.899999999999999" customHeight="1">
      <c r="A4051" s="515">
        <f t="shared" si="1218"/>
        <v>0</v>
      </c>
      <c r="B4051" s="478">
        <f t="shared" si="1219"/>
        <v>0</v>
      </c>
      <c r="C4051" s="478"/>
      <c r="D4051" s="526">
        <f t="shared" si="1220"/>
        <v>0</v>
      </c>
      <c r="E4051" s="470"/>
      <c r="F4051" s="472">
        <f t="shared" si="1221"/>
        <v>0</v>
      </c>
      <c r="G4051" s="472">
        <f t="shared" si="1222"/>
        <v>0</v>
      </c>
    </row>
    <row r="4052" spans="1:7" ht="19.899999999999999" customHeight="1">
      <c r="A4052" s="515">
        <f t="shared" si="1218"/>
        <v>0</v>
      </c>
      <c r="B4052" s="478">
        <f t="shared" si="1219"/>
        <v>0</v>
      </c>
      <c r="C4052" s="478"/>
      <c r="D4052" s="526">
        <f t="shared" si="1220"/>
        <v>0</v>
      </c>
      <c r="E4052" s="470"/>
      <c r="F4052" s="472">
        <f t="shared" si="1221"/>
        <v>0</v>
      </c>
      <c r="G4052" s="472">
        <f t="shared" si="1222"/>
        <v>0</v>
      </c>
    </row>
    <row r="4053" spans="1:7" ht="19.899999999999999" customHeight="1">
      <c r="A4053" s="515">
        <f t="shared" si="1218"/>
        <v>0</v>
      </c>
      <c r="B4053" s="478">
        <f t="shared" si="1219"/>
        <v>0</v>
      </c>
      <c r="C4053" s="478"/>
      <c r="D4053" s="526">
        <f t="shared" si="1220"/>
        <v>0</v>
      </c>
      <c r="E4053" s="470"/>
      <c r="F4053" s="472">
        <f t="shared" si="1221"/>
        <v>0</v>
      </c>
      <c r="G4053" s="472">
        <f t="shared" si="1222"/>
        <v>0</v>
      </c>
    </row>
    <row r="4054" spans="1:7" ht="19.899999999999999" customHeight="1">
      <c r="A4054" s="513"/>
      <c r="B4054" s="163"/>
      <c r="C4054" s="163"/>
      <c r="D4054" s="459"/>
      <c r="E4054" s="460"/>
      <c r="F4054" s="655" t="s">
        <v>28</v>
      </c>
      <c r="G4054" s="518">
        <f>SUBTOTAL(9,G4043:G4053)</f>
        <v>0</v>
      </c>
    </row>
    <row r="4055" spans="1:7" ht="19.899999999999999" customHeight="1">
      <c r="A4055" s="513"/>
      <c r="B4055" s="163"/>
      <c r="C4055" s="455" t="s">
        <v>1014</v>
      </c>
      <c r="D4055" s="459"/>
      <c r="E4055" s="460"/>
      <c r="F4055" s="461"/>
      <c r="G4055" s="514"/>
    </row>
    <row r="4056" spans="1:7" ht="19.899999999999999" customHeight="1">
      <c r="A4056" s="677" t="s">
        <v>575</v>
      </c>
      <c r="B4056" s="678"/>
      <c r="C4056" s="679" t="s">
        <v>0</v>
      </c>
      <c r="D4056" s="679" t="s">
        <v>1865</v>
      </c>
      <c r="E4056" s="681" t="s">
        <v>23</v>
      </c>
      <c r="F4056" s="683" t="s">
        <v>24</v>
      </c>
      <c r="G4056" s="685" t="s">
        <v>25</v>
      </c>
    </row>
    <row r="4057" spans="1:7" ht="19.899999999999999" customHeight="1">
      <c r="A4057" s="477" t="s">
        <v>576</v>
      </c>
      <c r="B4057" s="477" t="s">
        <v>577</v>
      </c>
      <c r="C4057" s="680"/>
      <c r="D4057" s="680"/>
      <c r="E4057" s="682"/>
      <c r="F4057" s="684"/>
      <c r="G4057" s="686"/>
    </row>
    <row r="4058" spans="1:7" ht="19.899999999999999" customHeight="1">
      <c r="A4058" s="515">
        <f>IFERROR(VLOOKUP(C4058,T_Insumos,4,FALSE),0)</f>
        <v>0</v>
      </c>
      <c r="B4058" s="478">
        <f>IFERROR(VLOOKUP(C4058,T_Insumos,5,FALSE),0)</f>
        <v>0</v>
      </c>
      <c r="C4058" s="469"/>
      <c r="D4058" s="526">
        <f>IF(C4058=0,0,"$/tnkm")</f>
        <v>0</v>
      </c>
      <c r="E4058" s="470"/>
      <c r="F4058" s="472">
        <f>IFERROR(VLOOKUP(C4058,T_Insumos,3,FALSE),0)</f>
        <v>0</v>
      </c>
      <c r="G4058" s="472">
        <f>ROUND(E4058*F4058,2)</f>
        <v>0</v>
      </c>
    </row>
    <row r="4059" spans="1:7" ht="19.899999999999999" customHeight="1">
      <c r="A4059" s="515">
        <f>IFERROR(VLOOKUP(C4059,T_Insumos,4,FALSE),0)</f>
        <v>0</v>
      </c>
      <c r="B4059" s="478">
        <f>IFERROR(VLOOKUP(C4059,T_Insumos,5,FALSE),0)</f>
        <v>0</v>
      </c>
      <c r="C4059" s="469"/>
      <c r="D4059" s="526">
        <f>IF(C4059=0,0,"$/tnkm")</f>
        <v>0</v>
      </c>
      <c r="E4059" s="486"/>
      <c r="F4059" s="472">
        <f>IFERROR(VLOOKUP(C4059,T_Insumos,3,FALSE),0)</f>
        <v>0</v>
      </c>
      <c r="G4059" s="472">
        <f t="shared" ref="G4059" si="1223">ROUND(E4059*F4059,2)</f>
        <v>0</v>
      </c>
    </row>
    <row r="4060" spans="1:7" ht="19.899999999999999" customHeight="1">
      <c r="A4060" s="513"/>
      <c r="B4060" s="163"/>
      <c r="C4060" s="163"/>
      <c r="D4060" s="459"/>
      <c r="E4060" s="460"/>
      <c r="F4060" s="655" t="s">
        <v>1015</v>
      </c>
      <c r="G4060" s="518">
        <f>SUBTOTAL(9,G4058:G4059)</f>
        <v>0</v>
      </c>
    </row>
    <row r="4061" spans="1:7" ht="19.899999999999999" customHeight="1">
      <c r="A4061" s="516"/>
      <c r="B4061" s="459"/>
      <c r="C4061" s="163"/>
      <c r="D4061" s="459"/>
      <c r="E4061" s="460"/>
      <c r="F4061" s="461"/>
      <c r="G4061" s="514"/>
    </row>
    <row r="4062" spans="1:7" ht="19.899999999999999" customHeight="1">
      <c r="A4062" s="574" t="str">
        <f>B3996</f>
        <v>6.2.15</v>
      </c>
      <c r="B4062" s="571" t="str">
        <f ca="1">C3996</f>
        <v>Juntas constructivas</v>
      </c>
      <c r="C4062" s="459"/>
      <c r="D4062" s="459" t="s">
        <v>1831</v>
      </c>
      <c r="E4062" s="572"/>
      <c r="F4062" s="573" t="str">
        <f ca="1">"$/"&amp;G3996</f>
        <v>$/m3</v>
      </c>
      <c r="G4062" s="523">
        <f>SUBTOTAL(9,G4019:G4061)</f>
        <v>0</v>
      </c>
    </row>
    <row r="4063" spans="1:7" ht="19.899999999999999" customHeight="1">
      <c r="A4063" s="519"/>
      <c r="B4063" s="520"/>
      <c r="C4063" s="521"/>
      <c r="D4063" s="521" t="s">
        <v>2041</v>
      </c>
      <c r="E4063" s="522"/>
      <c r="F4063" s="575" t="str">
        <f ca="1">"$/"&amp;G3996</f>
        <v>$/m3</v>
      </c>
      <c r="G4063" s="523">
        <f>ROUND(G4062*Coeficiente_Paso,2)</f>
        <v>0</v>
      </c>
    </row>
  </sheetData>
  <sheetProtection insertRows="0" deleteRows="0"/>
  <mergeCells count="1404">
    <mergeCell ref="G2077:G2078"/>
    <mergeCell ref="A2037:G2037"/>
    <mergeCell ref="C2043:E2043"/>
    <mergeCell ref="A2063:B2063"/>
    <mergeCell ref="C2063:C2064"/>
    <mergeCell ref="F2216:F2217"/>
    <mergeCell ref="G2216:G2217"/>
    <mergeCell ref="A2256:B2256"/>
    <mergeCell ref="C2256:C2257"/>
    <mergeCell ref="D2256:D2257"/>
    <mergeCell ref="E2256:E2257"/>
    <mergeCell ref="F2256:F2257"/>
    <mergeCell ref="G2256:G2257"/>
    <mergeCell ref="A2181:B2181"/>
    <mergeCell ref="C2181:C2182"/>
    <mergeCell ref="D2181:D2182"/>
    <mergeCell ref="E2181:E2182"/>
    <mergeCell ref="F2181:F2182"/>
    <mergeCell ref="G2181:G2182"/>
    <mergeCell ref="A2230:B2230"/>
    <mergeCell ref="C2230:C2231"/>
    <mergeCell ref="D2230:D2231"/>
    <mergeCell ref="E2230:E2231"/>
    <mergeCell ref="F2230:F2231"/>
    <mergeCell ref="G2230:G2231"/>
    <mergeCell ref="A2190:G2190"/>
    <mergeCell ref="C2196:E2196"/>
    <mergeCell ref="A2216:B2216"/>
    <mergeCell ref="C2216:C2217"/>
    <mergeCell ref="A2241:B2241"/>
    <mergeCell ref="C2241:C2242"/>
    <mergeCell ref="D2241:D2242"/>
    <mergeCell ref="C1913:C1914"/>
    <mergeCell ref="D1913:D1914"/>
    <mergeCell ref="E1913:E1914"/>
    <mergeCell ref="F1913:F1914"/>
    <mergeCell ref="G1913:G1914"/>
    <mergeCell ref="D2106:D2107"/>
    <mergeCell ref="E2106:E2107"/>
    <mergeCell ref="F2106:F2107"/>
    <mergeCell ref="G2106:G2107"/>
    <mergeCell ref="D2063:D2064"/>
    <mergeCell ref="E2063:E2064"/>
    <mergeCell ref="F2063:F2064"/>
    <mergeCell ref="G2063:G2064"/>
    <mergeCell ref="A2106:B2106"/>
    <mergeCell ref="C2106:C2107"/>
    <mergeCell ref="A2155:B2155"/>
    <mergeCell ref="C2155:C2156"/>
    <mergeCell ref="D2155:D2156"/>
    <mergeCell ref="E2155:E2156"/>
    <mergeCell ref="F2155:F2156"/>
    <mergeCell ref="G2155:G2156"/>
    <mergeCell ref="A2028:B2028"/>
    <mergeCell ref="C2028:C2029"/>
    <mergeCell ref="D2028:D2029"/>
    <mergeCell ref="E2028:E2029"/>
    <mergeCell ref="F2028:F2029"/>
    <mergeCell ref="G2028:G2029"/>
    <mergeCell ref="A2077:B2077"/>
    <mergeCell ref="C2077:C2078"/>
    <mergeCell ref="D2077:D2078"/>
    <mergeCell ref="E2077:E2078"/>
    <mergeCell ref="F2077:F2078"/>
    <mergeCell ref="C1732:E1732"/>
    <mergeCell ref="A1752:B1752"/>
    <mergeCell ref="C1752:C1753"/>
    <mergeCell ref="D1752:D1753"/>
    <mergeCell ref="E1752:E1753"/>
    <mergeCell ref="F1752:F1753"/>
    <mergeCell ref="G1752:G1753"/>
    <mergeCell ref="D1953:D1954"/>
    <mergeCell ref="E1953:E1954"/>
    <mergeCell ref="F1953:F1954"/>
    <mergeCell ref="G1953:G1954"/>
    <mergeCell ref="A2002:B2002"/>
    <mergeCell ref="C2002:C2003"/>
    <mergeCell ref="D2002:D2003"/>
    <mergeCell ref="E2002:E2003"/>
    <mergeCell ref="F2002:F2003"/>
    <mergeCell ref="G2002:G2003"/>
    <mergeCell ref="A1878:B1878"/>
    <mergeCell ref="C1878:C1879"/>
    <mergeCell ref="D1878:D1879"/>
    <mergeCell ref="E1878:E1879"/>
    <mergeCell ref="F1878:F1879"/>
    <mergeCell ref="G1878:G1879"/>
    <mergeCell ref="A1927:B1927"/>
    <mergeCell ref="C1927:C1928"/>
    <mergeCell ref="D1927:D1928"/>
    <mergeCell ref="E1927:E1928"/>
    <mergeCell ref="F1927:F1928"/>
    <mergeCell ref="G1927:G1928"/>
    <mergeCell ref="A1887:G1887"/>
    <mergeCell ref="C1893:E1893"/>
    <mergeCell ref="A1913:B1913"/>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A1091:B1091"/>
    <mergeCell ref="C1091:C1092"/>
    <mergeCell ref="D1091:D1092"/>
    <mergeCell ref="E1091:E1092"/>
    <mergeCell ref="F1091:F1092"/>
    <mergeCell ref="G1091:G1092"/>
    <mergeCell ref="C1057:E1057"/>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F1227:F1228"/>
    <mergeCell ref="G1227:G1228"/>
    <mergeCell ref="E1166:E1167"/>
    <mergeCell ref="F1166:F1167"/>
    <mergeCell ref="G1166:G1167"/>
    <mergeCell ref="D1177:D1178"/>
    <mergeCell ref="E1177:E1178"/>
    <mergeCell ref="F1177:F1178"/>
    <mergeCell ref="G1177:G1178"/>
    <mergeCell ref="C1132:E1132"/>
    <mergeCell ref="A1152:B1152"/>
    <mergeCell ref="C1152:C1153"/>
    <mergeCell ref="A1177:B1177"/>
    <mergeCell ref="D967:D968"/>
    <mergeCell ref="E967:E968"/>
    <mergeCell ref="F967:F968"/>
    <mergeCell ref="G967:G968"/>
    <mergeCell ref="A1002:B1002"/>
    <mergeCell ref="C1002:C1003"/>
    <mergeCell ref="D1002:D10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A1042:B1042"/>
    <mergeCell ref="C1042:C1043"/>
    <mergeCell ref="D1042:D1043"/>
    <mergeCell ref="E1042:E1043"/>
    <mergeCell ref="F1042:F1043"/>
    <mergeCell ref="G1042:G1043"/>
    <mergeCell ref="C757:E757"/>
    <mergeCell ref="D777:D778"/>
    <mergeCell ref="E777:E778"/>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641:B641"/>
    <mergeCell ref="C641:C642"/>
    <mergeCell ref="D641:D642"/>
    <mergeCell ref="E641:E642"/>
    <mergeCell ref="F641:F642"/>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577:B577"/>
    <mergeCell ref="C577:C578"/>
    <mergeCell ref="D577:D578"/>
    <mergeCell ref="E577:E578"/>
    <mergeCell ref="C566:C567"/>
    <mergeCell ref="D566:D567"/>
    <mergeCell ref="E566:E567"/>
    <mergeCell ref="F566:F567"/>
    <mergeCell ref="G566:G567"/>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416:F417"/>
    <mergeCell ref="G416:G417"/>
    <mergeCell ref="A376:G376"/>
    <mergeCell ref="C382:E382"/>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552:D553"/>
    <mergeCell ref="E552:E553"/>
    <mergeCell ref="F552:F553"/>
    <mergeCell ref="G552:G553"/>
    <mergeCell ref="A292:B292"/>
    <mergeCell ref="C292:C293"/>
    <mergeCell ref="D292:D293"/>
    <mergeCell ref="E292:E293"/>
    <mergeCell ref="F292:F293"/>
    <mergeCell ref="G292:G293"/>
    <mergeCell ref="A217:B217"/>
    <mergeCell ref="C217:C218"/>
    <mergeCell ref="A327:B327"/>
    <mergeCell ref="C327:C328"/>
    <mergeCell ref="D327:D328"/>
    <mergeCell ref="E327:E328"/>
    <mergeCell ref="A526:G526"/>
    <mergeCell ref="C532:E532"/>
    <mergeCell ref="A552:B552"/>
    <mergeCell ref="C552:C553"/>
    <mergeCell ref="G402:G403"/>
    <mergeCell ref="A402:B402"/>
    <mergeCell ref="C402:C403"/>
    <mergeCell ref="D402:D403"/>
    <mergeCell ref="E402:E403"/>
    <mergeCell ref="F402:F403"/>
    <mergeCell ref="A427:B427"/>
    <mergeCell ref="C427:C428"/>
    <mergeCell ref="A442:B442"/>
    <mergeCell ref="C442:C443"/>
    <mergeCell ref="D442:D443"/>
    <mergeCell ref="E442:E443"/>
    <mergeCell ref="F442:F443"/>
    <mergeCell ref="G442:G443"/>
    <mergeCell ref="A367:B367"/>
    <mergeCell ref="C367:C368"/>
    <mergeCell ref="D367:D368"/>
    <mergeCell ref="D341:D342"/>
    <mergeCell ref="E341:E342"/>
    <mergeCell ref="F341:F342"/>
    <mergeCell ref="G341:G342"/>
    <mergeCell ref="A352:B352"/>
    <mergeCell ref="C352:C353"/>
    <mergeCell ref="D352:D353"/>
    <mergeCell ref="E352:E353"/>
    <mergeCell ref="F352:F353"/>
    <mergeCell ref="G352:G353"/>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G641:G642"/>
    <mergeCell ref="A652:B652"/>
    <mergeCell ref="C652:C653"/>
    <mergeCell ref="D652:D653"/>
    <mergeCell ref="E652:E653"/>
    <mergeCell ref="F652:F653"/>
    <mergeCell ref="G652:G653"/>
    <mergeCell ref="A566:B566"/>
    <mergeCell ref="E367:E368"/>
    <mergeCell ref="F367:F368"/>
    <mergeCell ref="G367:G368"/>
    <mergeCell ref="A416:B416"/>
    <mergeCell ref="C416:C417"/>
    <mergeCell ref="D416:D417"/>
    <mergeCell ref="E416:E417"/>
    <mergeCell ref="E102:E103"/>
    <mergeCell ref="F102:F103"/>
    <mergeCell ref="G102:G103"/>
    <mergeCell ref="A116:B116"/>
    <mergeCell ref="C116:C117"/>
    <mergeCell ref="D116:D117"/>
    <mergeCell ref="E116:E117"/>
    <mergeCell ref="F116:F117"/>
    <mergeCell ref="G116:G117"/>
    <mergeCell ref="D427:D428"/>
    <mergeCell ref="E427:E428"/>
    <mergeCell ref="F427:F428"/>
    <mergeCell ref="G427:G428"/>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301:G301"/>
    <mergeCell ref="C307:E307"/>
    <mergeCell ref="A341:B341"/>
    <mergeCell ref="C341:C34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91:B191"/>
    <mergeCell ref="C191:C192"/>
    <mergeCell ref="D191:D192"/>
    <mergeCell ref="E191:E192"/>
    <mergeCell ref="F191:F192"/>
    <mergeCell ref="G191:G192"/>
    <mergeCell ref="C102:C103"/>
    <mergeCell ref="D102:D103"/>
    <mergeCell ref="C1177:C1178"/>
    <mergeCell ref="A826:G826"/>
    <mergeCell ref="C832:E832"/>
    <mergeCell ref="A852:B852"/>
    <mergeCell ref="C852:C853"/>
    <mergeCell ref="D852:D853"/>
    <mergeCell ref="E852:E853"/>
    <mergeCell ref="F852:F853"/>
    <mergeCell ref="G852:G853"/>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A952:B952"/>
    <mergeCell ref="C952:C953"/>
    <mergeCell ref="D952:D953"/>
    <mergeCell ref="E952:E953"/>
    <mergeCell ref="F952:F953"/>
    <mergeCell ref="G952:G953"/>
    <mergeCell ref="D1152:D1153"/>
    <mergeCell ref="A967:B967"/>
    <mergeCell ref="C967:C968"/>
    <mergeCell ref="D1327:D1328"/>
    <mergeCell ref="E1327:E1328"/>
    <mergeCell ref="F1327:F1328"/>
    <mergeCell ref="G1327:G1328"/>
    <mergeCell ref="A1342:B1342"/>
    <mergeCell ref="C1342:C1343"/>
    <mergeCell ref="D1342:D1343"/>
    <mergeCell ref="E1342:E1343"/>
    <mergeCell ref="A1316:B1316"/>
    <mergeCell ref="C1316:C1317"/>
    <mergeCell ref="D1316:D1317"/>
    <mergeCell ref="E1316:E1317"/>
    <mergeCell ref="F1316:F1317"/>
    <mergeCell ref="G1316:G1317"/>
    <mergeCell ref="F1016:F1017"/>
    <mergeCell ref="G1016:G1017"/>
    <mergeCell ref="A1027:B1027"/>
    <mergeCell ref="C1027:C1028"/>
    <mergeCell ref="D1027:D1028"/>
    <mergeCell ref="E1027:E1028"/>
    <mergeCell ref="F1027:F1028"/>
    <mergeCell ref="G1027:G1028"/>
    <mergeCell ref="A1276:G1276"/>
    <mergeCell ref="C1282:E1282"/>
    <mergeCell ref="A1302:B1302"/>
    <mergeCell ref="C1302:C1303"/>
    <mergeCell ref="D1302:D1303"/>
    <mergeCell ref="E1302:E1303"/>
    <mergeCell ref="F1302:F1303"/>
    <mergeCell ref="G1302:G1303"/>
    <mergeCell ref="A1327:B1327"/>
    <mergeCell ref="C1327:C1328"/>
    <mergeCell ref="F1342:F1343"/>
    <mergeCell ref="G1342:G1343"/>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91:B1391"/>
    <mergeCell ref="C1391:C1392"/>
    <mergeCell ref="D1391:D1392"/>
    <mergeCell ref="E1391:E1392"/>
    <mergeCell ref="F1391:F1392"/>
    <mergeCell ref="G1391:G1392"/>
    <mergeCell ref="A1402:B1402"/>
    <mergeCell ref="C1402:C1403"/>
    <mergeCell ref="D1402:D1403"/>
    <mergeCell ref="E1402:E1403"/>
    <mergeCell ref="F1402:F1403"/>
    <mergeCell ref="G1402:G1403"/>
    <mergeCell ref="A1417:B1417"/>
    <mergeCell ref="C1417:C1418"/>
    <mergeCell ref="F1691:F1692"/>
    <mergeCell ref="G1691:G1692"/>
    <mergeCell ref="E1677:E1678"/>
    <mergeCell ref="F1677:F1678"/>
    <mergeCell ref="G1677:G1678"/>
    <mergeCell ref="A1702:B1702"/>
    <mergeCell ref="C1702:C1703"/>
    <mergeCell ref="D1702:D1703"/>
    <mergeCell ref="E1702:E1703"/>
    <mergeCell ref="A1642:B1642"/>
    <mergeCell ref="C1642:C1643"/>
    <mergeCell ref="D1642:D1643"/>
    <mergeCell ref="E1642:E1643"/>
    <mergeCell ref="F1642:F1643"/>
    <mergeCell ref="G1642:G1643"/>
    <mergeCell ref="A1567:B1567"/>
    <mergeCell ref="A1377:B1377"/>
    <mergeCell ref="C1377:C1378"/>
    <mergeCell ref="D1377:D1378"/>
    <mergeCell ref="E1377:E1378"/>
    <mergeCell ref="F1377:F1378"/>
    <mergeCell ref="G1377:G1378"/>
    <mergeCell ref="D1417:D1418"/>
    <mergeCell ref="E1417:E1418"/>
    <mergeCell ref="F1417:F1418"/>
    <mergeCell ref="G1417:G1418"/>
    <mergeCell ref="C1567:C1568"/>
    <mergeCell ref="D1567:D1568"/>
    <mergeCell ref="E1567:E1568"/>
    <mergeCell ref="F1567:F1568"/>
    <mergeCell ref="G1567:G1568"/>
    <mergeCell ref="A1616:B1616"/>
    <mergeCell ref="A1426:G1426"/>
    <mergeCell ref="C1432:E1432"/>
    <mergeCell ref="A1452:B1452"/>
    <mergeCell ref="C1452:C1453"/>
    <mergeCell ref="D1452:D1453"/>
    <mergeCell ref="E1452:E1453"/>
    <mergeCell ref="F1452:F1453"/>
    <mergeCell ref="G1452:G1453"/>
    <mergeCell ref="A1501:G1501"/>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C1507:E1507"/>
    <mergeCell ref="A1527:B1527"/>
    <mergeCell ref="C1527:C1528"/>
    <mergeCell ref="D1527:D1528"/>
    <mergeCell ref="E1527:E1528"/>
    <mergeCell ref="F1527:F1528"/>
    <mergeCell ref="G1527:G15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F1541:F1542"/>
    <mergeCell ref="G1541:G1542"/>
    <mergeCell ref="F1702:F1703"/>
    <mergeCell ref="G1702:G1703"/>
    <mergeCell ref="A1691:B1691"/>
    <mergeCell ref="C1691:C1692"/>
    <mergeCell ref="D1691:D1692"/>
    <mergeCell ref="E1691:E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792:B1792"/>
    <mergeCell ref="C1792:C1793"/>
    <mergeCell ref="D1792:D1793"/>
    <mergeCell ref="E1792:E1793"/>
    <mergeCell ref="F1792:F1793"/>
    <mergeCell ref="G1792:G1793"/>
    <mergeCell ref="A1938:B1938"/>
    <mergeCell ref="C1938:C1939"/>
    <mergeCell ref="D1938:D1939"/>
    <mergeCell ref="E1938:E1939"/>
    <mergeCell ref="F1938:F1939"/>
    <mergeCell ref="G1938:G1939"/>
    <mergeCell ref="A1962:G1962"/>
    <mergeCell ref="C1968:E1968"/>
    <mergeCell ref="A1988:B1988"/>
    <mergeCell ref="C1988:C1989"/>
    <mergeCell ref="D1988:D1989"/>
    <mergeCell ref="E1988:E1989"/>
    <mergeCell ref="F1988:F1989"/>
    <mergeCell ref="G1988:G1989"/>
    <mergeCell ref="A2013:B2013"/>
    <mergeCell ref="C2013:C2014"/>
    <mergeCell ref="D2013:D2014"/>
    <mergeCell ref="E2013:E2014"/>
    <mergeCell ref="F2013:F2014"/>
    <mergeCell ref="G2013:G2014"/>
    <mergeCell ref="A1953:B1953"/>
    <mergeCell ref="C1953:C1954"/>
    <mergeCell ref="E2241:E2242"/>
    <mergeCell ref="F2241:F2242"/>
    <mergeCell ref="G2241:G2242"/>
    <mergeCell ref="A2088:B2088"/>
    <mergeCell ref="C2088:C2089"/>
    <mergeCell ref="D2088:D2089"/>
    <mergeCell ref="E2088:E2089"/>
    <mergeCell ref="F2088:F2089"/>
    <mergeCell ref="G2088:G2089"/>
    <mergeCell ref="A2115:G2115"/>
    <mergeCell ref="C2121:E2121"/>
    <mergeCell ref="A2141:B2141"/>
    <mergeCell ref="C2141:C2142"/>
    <mergeCell ref="D2141:D2142"/>
    <mergeCell ref="E2141:E2142"/>
    <mergeCell ref="F2141:F2142"/>
    <mergeCell ref="G2141:G2142"/>
    <mergeCell ref="A2166:B2166"/>
    <mergeCell ref="C2166:C2167"/>
    <mergeCell ref="D2166:D2167"/>
    <mergeCell ref="E2166:E2167"/>
    <mergeCell ref="F2166:F2167"/>
    <mergeCell ref="G2166:G2167"/>
    <mergeCell ref="D2216:D2217"/>
    <mergeCell ref="E2216:E2217"/>
    <mergeCell ref="A2316:B2316"/>
    <mergeCell ref="C2316:C2317"/>
    <mergeCell ref="D2316:D2317"/>
    <mergeCell ref="E2316:E2317"/>
    <mergeCell ref="F2316:F2317"/>
    <mergeCell ref="G2316:G2317"/>
    <mergeCell ref="A2331:B2331"/>
    <mergeCell ref="C2331:C2332"/>
    <mergeCell ref="D2331:D2332"/>
    <mergeCell ref="E2331:E2332"/>
    <mergeCell ref="F2331:F2332"/>
    <mergeCell ref="G2331:G2332"/>
    <mergeCell ref="A2265:G2265"/>
    <mergeCell ref="C2271:E2271"/>
    <mergeCell ref="A2291:B2291"/>
    <mergeCell ref="C2291:C2292"/>
    <mergeCell ref="D2291:D2292"/>
    <mergeCell ref="E2291:E2292"/>
    <mergeCell ref="F2291:F2292"/>
    <mergeCell ref="G2291:G2292"/>
    <mergeCell ref="A2305:B2305"/>
    <mergeCell ref="C2305:C2306"/>
    <mergeCell ref="D2305:D2306"/>
    <mergeCell ref="E2305:E2306"/>
    <mergeCell ref="F2305:F2306"/>
    <mergeCell ref="G2305:G2306"/>
    <mergeCell ref="A2391:B2391"/>
    <mergeCell ref="C2391:C2392"/>
    <mergeCell ref="D2391:D2392"/>
    <mergeCell ref="E2391:E2392"/>
    <mergeCell ref="F2391:F2392"/>
    <mergeCell ref="G2391:G2392"/>
    <mergeCell ref="A2406:B2406"/>
    <mergeCell ref="C2406:C2407"/>
    <mergeCell ref="D2406:D2407"/>
    <mergeCell ref="E2406:E2407"/>
    <mergeCell ref="F2406:F2407"/>
    <mergeCell ref="G2406:G2407"/>
    <mergeCell ref="A2340:G2340"/>
    <mergeCell ref="C2346:E2346"/>
    <mergeCell ref="A2366:B2366"/>
    <mergeCell ref="C2366:C2367"/>
    <mergeCell ref="D2366:D2367"/>
    <mergeCell ref="E2366:E2367"/>
    <mergeCell ref="F2366:F2367"/>
    <mergeCell ref="G2366:G2367"/>
    <mergeCell ref="A2380:B2380"/>
    <mergeCell ref="C2380:C2381"/>
    <mergeCell ref="D2380:D2381"/>
    <mergeCell ref="E2380:E2381"/>
    <mergeCell ref="F2380:F2381"/>
    <mergeCell ref="G2380:G2381"/>
    <mergeCell ref="A2466:B2466"/>
    <mergeCell ref="C2466:C2467"/>
    <mergeCell ref="D2466:D2467"/>
    <mergeCell ref="E2466:E2467"/>
    <mergeCell ref="F2466:F2467"/>
    <mergeCell ref="G2466:G2467"/>
    <mergeCell ref="A2481:B2481"/>
    <mergeCell ref="C2481:C2482"/>
    <mergeCell ref="D2481:D2482"/>
    <mergeCell ref="E2481:E2482"/>
    <mergeCell ref="F2481:F2482"/>
    <mergeCell ref="G2481:G2482"/>
    <mergeCell ref="A2415:G2415"/>
    <mergeCell ref="C2421:E2421"/>
    <mergeCell ref="A2441:B2441"/>
    <mergeCell ref="C2441:C2442"/>
    <mergeCell ref="D2441:D2442"/>
    <mergeCell ref="E2441:E2442"/>
    <mergeCell ref="F2441:F2442"/>
    <mergeCell ref="G2441:G2442"/>
    <mergeCell ref="A2455:B2455"/>
    <mergeCell ref="C2455:C2456"/>
    <mergeCell ref="D2455:D2456"/>
    <mergeCell ref="E2455:E2456"/>
    <mergeCell ref="F2455:F2456"/>
    <mergeCell ref="G2455:G2456"/>
    <mergeCell ref="A2541:B2541"/>
    <mergeCell ref="C2541:C2542"/>
    <mergeCell ref="D2541:D2542"/>
    <mergeCell ref="E2541:E2542"/>
    <mergeCell ref="F2541:F2542"/>
    <mergeCell ref="G2541:G2542"/>
    <mergeCell ref="A2556:B2556"/>
    <mergeCell ref="C2556:C2557"/>
    <mergeCell ref="D2556:D2557"/>
    <mergeCell ref="E2556:E2557"/>
    <mergeCell ref="F2556:F2557"/>
    <mergeCell ref="G2556:G2557"/>
    <mergeCell ref="A2490:G2490"/>
    <mergeCell ref="C2496:E2496"/>
    <mergeCell ref="A2516:B2516"/>
    <mergeCell ref="C2516:C2517"/>
    <mergeCell ref="D2516:D2517"/>
    <mergeCell ref="E2516:E2517"/>
    <mergeCell ref="F2516:F2517"/>
    <mergeCell ref="G2516:G2517"/>
    <mergeCell ref="A2530:B2530"/>
    <mergeCell ref="C2530:C2531"/>
    <mergeCell ref="D2530:D2531"/>
    <mergeCell ref="E2530:E2531"/>
    <mergeCell ref="F2530:F2531"/>
    <mergeCell ref="G2530:G2531"/>
    <mergeCell ref="A2616:B2616"/>
    <mergeCell ref="C2616:C2617"/>
    <mergeCell ref="D2616:D2617"/>
    <mergeCell ref="E2616:E2617"/>
    <mergeCell ref="F2616:F2617"/>
    <mergeCell ref="G2616:G2617"/>
    <mergeCell ref="A2631:B2631"/>
    <mergeCell ref="C2631:C2632"/>
    <mergeCell ref="D2631:D2632"/>
    <mergeCell ref="E2631:E2632"/>
    <mergeCell ref="F2631:F2632"/>
    <mergeCell ref="G2631:G2632"/>
    <mergeCell ref="A2565:G2565"/>
    <mergeCell ref="C2571:E2571"/>
    <mergeCell ref="A2591:B2591"/>
    <mergeCell ref="C2591:C2592"/>
    <mergeCell ref="D2591:D2592"/>
    <mergeCell ref="E2591:E2592"/>
    <mergeCell ref="F2591:F2592"/>
    <mergeCell ref="G2591:G2592"/>
    <mergeCell ref="A2605:B2605"/>
    <mergeCell ref="C2605:C2606"/>
    <mergeCell ref="D2605:D2606"/>
    <mergeCell ref="E2605:E2606"/>
    <mergeCell ref="F2605:F2606"/>
    <mergeCell ref="G2605:G2606"/>
    <mergeCell ref="A2691:B2691"/>
    <mergeCell ref="C2691:C2692"/>
    <mergeCell ref="D2691:D2692"/>
    <mergeCell ref="E2691:E2692"/>
    <mergeCell ref="F2691:F2692"/>
    <mergeCell ref="G2691:G2692"/>
    <mergeCell ref="A2706:B2706"/>
    <mergeCell ref="C2706:C2707"/>
    <mergeCell ref="D2706:D2707"/>
    <mergeCell ref="E2706:E2707"/>
    <mergeCell ref="F2706:F2707"/>
    <mergeCell ref="G2706:G2707"/>
    <mergeCell ref="A2640:G2640"/>
    <mergeCell ref="C2646:E2646"/>
    <mergeCell ref="A2666:B2666"/>
    <mergeCell ref="C2666:C2667"/>
    <mergeCell ref="D2666:D2667"/>
    <mergeCell ref="E2666:E2667"/>
    <mergeCell ref="F2666:F2667"/>
    <mergeCell ref="G2666:G2667"/>
    <mergeCell ref="A2680:B2680"/>
    <mergeCell ref="C2680:C2681"/>
    <mergeCell ref="D2680:D2681"/>
    <mergeCell ref="E2680:E2681"/>
    <mergeCell ref="F2680:F2681"/>
    <mergeCell ref="G2680:G2681"/>
    <mergeCell ref="A2766:B2766"/>
    <mergeCell ref="C2766:C2767"/>
    <mergeCell ref="D2766:D2767"/>
    <mergeCell ref="E2766:E2767"/>
    <mergeCell ref="F2766:F2767"/>
    <mergeCell ref="G2766:G2767"/>
    <mergeCell ref="A2781:B2781"/>
    <mergeCell ref="C2781:C2782"/>
    <mergeCell ref="D2781:D2782"/>
    <mergeCell ref="E2781:E2782"/>
    <mergeCell ref="F2781:F2782"/>
    <mergeCell ref="G2781:G2782"/>
    <mergeCell ref="A2715:G2715"/>
    <mergeCell ref="C2721:E2721"/>
    <mergeCell ref="A2741:B2741"/>
    <mergeCell ref="C2741:C2742"/>
    <mergeCell ref="D2741:D2742"/>
    <mergeCell ref="E2741:E2742"/>
    <mergeCell ref="F2741:F2742"/>
    <mergeCell ref="G2741:G2742"/>
    <mergeCell ref="A2755:B2755"/>
    <mergeCell ref="C2755:C2756"/>
    <mergeCell ref="D2755:D2756"/>
    <mergeCell ref="E2755:E2756"/>
    <mergeCell ref="F2755:F2756"/>
    <mergeCell ref="G2755:G2756"/>
    <mergeCell ref="A2841:B2841"/>
    <mergeCell ref="C2841:C2842"/>
    <mergeCell ref="D2841:D2842"/>
    <mergeCell ref="E2841:E2842"/>
    <mergeCell ref="F2841:F2842"/>
    <mergeCell ref="G2841:G2842"/>
    <mergeCell ref="A2856:B2856"/>
    <mergeCell ref="C2856:C2857"/>
    <mergeCell ref="D2856:D2857"/>
    <mergeCell ref="E2856:E2857"/>
    <mergeCell ref="F2856:F2857"/>
    <mergeCell ref="G2856:G2857"/>
    <mergeCell ref="A2790:G2790"/>
    <mergeCell ref="C2796:E2796"/>
    <mergeCell ref="A2816:B2816"/>
    <mergeCell ref="C2816:C2817"/>
    <mergeCell ref="D2816:D2817"/>
    <mergeCell ref="E2816:E2817"/>
    <mergeCell ref="F2816:F2817"/>
    <mergeCell ref="G2816:G2817"/>
    <mergeCell ref="A2830:B2830"/>
    <mergeCell ref="C2830:C2831"/>
    <mergeCell ref="D2830:D2831"/>
    <mergeCell ref="E2830:E2831"/>
    <mergeCell ref="F2830:F2831"/>
    <mergeCell ref="G2830:G2831"/>
    <mergeCell ref="A2916:B2916"/>
    <mergeCell ref="C2916:C2917"/>
    <mergeCell ref="D2916:D2917"/>
    <mergeCell ref="E2916:E2917"/>
    <mergeCell ref="F2916:F2917"/>
    <mergeCell ref="G2916:G2917"/>
    <mergeCell ref="A2931:B2931"/>
    <mergeCell ref="C2931:C2932"/>
    <mergeCell ref="D2931:D2932"/>
    <mergeCell ref="E2931:E2932"/>
    <mergeCell ref="F2931:F2932"/>
    <mergeCell ref="G2931:G2932"/>
    <mergeCell ref="A2865:G2865"/>
    <mergeCell ref="C2871:E2871"/>
    <mergeCell ref="A2891:B2891"/>
    <mergeCell ref="C2891:C2892"/>
    <mergeCell ref="D2891:D2892"/>
    <mergeCell ref="E2891:E2892"/>
    <mergeCell ref="F2891:F2892"/>
    <mergeCell ref="G2891:G2892"/>
    <mergeCell ref="A2905:B2905"/>
    <mergeCell ref="C2905:C2906"/>
    <mergeCell ref="D2905:D2906"/>
    <mergeCell ref="E2905:E2906"/>
    <mergeCell ref="F2905:F2906"/>
    <mergeCell ref="G2905:G2906"/>
    <mergeCell ref="A2991:B2991"/>
    <mergeCell ref="C2991:C2992"/>
    <mergeCell ref="D2991:D2992"/>
    <mergeCell ref="E2991:E2992"/>
    <mergeCell ref="F2991:F2992"/>
    <mergeCell ref="G2991:G2992"/>
    <mergeCell ref="A3006:B3006"/>
    <mergeCell ref="C3006:C3007"/>
    <mergeCell ref="D3006:D3007"/>
    <mergeCell ref="E3006:E3007"/>
    <mergeCell ref="F3006:F3007"/>
    <mergeCell ref="G3006:G3007"/>
    <mergeCell ref="A2940:G2940"/>
    <mergeCell ref="C2946:E2946"/>
    <mergeCell ref="A2966:B2966"/>
    <mergeCell ref="C2966:C2967"/>
    <mergeCell ref="D2966:D2967"/>
    <mergeCell ref="E2966:E2967"/>
    <mergeCell ref="F2966:F2967"/>
    <mergeCell ref="G2966:G2967"/>
    <mergeCell ref="A2980:B2980"/>
    <mergeCell ref="C2980:C2981"/>
    <mergeCell ref="D2980:D2981"/>
    <mergeCell ref="E2980:E2981"/>
    <mergeCell ref="F2980:F2981"/>
    <mergeCell ref="G2980:G2981"/>
    <mergeCell ref="A3066:B3066"/>
    <mergeCell ref="C3066:C3067"/>
    <mergeCell ref="D3066:D3067"/>
    <mergeCell ref="E3066:E3067"/>
    <mergeCell ref="F3066:F3067"/>
    <mergeCell ref="G3066:G3067"/>
    <mergeCell ref="A3081:B3081"/>
    <mergeCell ref="C3081:C3082"/>
    <mergeCell ref="D3081:D3082"/>
    <mergeCell ref="E3081:E3082"/>
    <mergeCell ref="F3081:F3082"/>
    <mergeCell ref="G3081:G3082"/>
    <mergeCell ref="A3015:G3015"/>
    <mergeCell ref="C3021:E3021"/>
    <mergeCell ref="A3041:B3041"/>
    <mergeCell ref="C3041:C3042"/>
    <mergeCell ref="D3041:D3042"/>
    <mergeCell ref="E3041:E3042"/>
    <mergeCell ref="F3041:F3042"/>
    <mergeCell ref="G3041:G3042"/>
    <mergeCell ref="A3055:B3055"/>
    <mergeCell ref="C3055:C3056"/>
    <mergeCell ref="D3055:D3056"/>
    <mergeCell ref="E3055:E3056"/>
    <mergeCell ref="F3055:F3056"/>
    <mergeCell ref="G3055:G3056"/>
    <mergeCell ref="A3141:B3141"/>
    <mergeCell ref="C3141:C3142"/>
    <mergeCell ref="D3141:D3142"/>
    <mergeCell ref="E3141:E3142"/>
    <mergeCell ref="F3141:F3142"/>
    <mergeCell ref="G3141:G3142"/>
    <mergeCell ref="A3156:B3156"/>
    <mergeCell ref="C3156:C3157"/>
    <mergeCell ref="D3156:D3157"/>
    <mergeCell ref="E3156:E3157"/>
    <mergeCell ref="F3156:F3157"/>
    <mergeCell ref="G3156:G3157"/>
    <mergeCell ref="A3090:G3090"/>
    <mergeCell ref="C3096:E3096"/>
    <mergeCell ref="A3116:B3116"/>
    <mergeCell ref="C3116:C3117"/>
    <mergeCell ref="D3116:D3117"/>
    <mergeCell ref="E3116:E3117"/>
    <mergeCell ref="F3116:F3117"/>
    <mergeCell ref="G3116:G3117"/>
    <mergeCell ref="A3130:B3130"/>
    <mergeCell ref="C3130:C3131"/>
    <mergeCell ref="D3130:D3131"/>
    <mergeCell ref="E3130:E3131"/>
    <mergeCell ref="F3130:F3131"/>
    <mergeCell ref="G3130:G3131"/>
    <mergeCell ref="A3216:B3216"/>
    <mergeCell ref="C3216:C3217"/>
    <mergeCell ref="D3216:D3217"/>
    <mergeCell ref="E3216:E3217"/>
    <mergeCell ref="F3216:F3217"/>
    <mergeCell ref="G3216:G3217"/>
    <mergeCell ref="A3231:B3231"/>
    <mergeCell ref="C3231:C3232"/>
    <mergeCell ref="D3231:D3232"/>
    <mergeCell ref="E3231:E3232"/>
    <mergeCell ref="F3231:F3232"/>
    <mergeCell ref="G3231:G3232"/>
    <mergeCell ref="A3165:G3165"/>
    <mergeCell ref="C3171:E3171"/>
    <mergeCell ref="A3191:B3191"/>
    <mergeCell ref="C3191:C3192"/>
    <mergeCell ref="D3191:D3192"/>
    <mergeCell ref="E3191:E3192"/>
    <mergeCell ref="F3191:F3192"/>
    <mergeCell ref="G3191:G3192"/>
    <mergeCell ref="A3205:B3205"/>
    <mergeCell ref="C3205:C3206"/>
    <mergeCell ref="D3205:D3206"/>
    <mergeCell ref="E3205:E3206"/>
    <mergeCell ref="F3205:F3206"/>
    <mergeCell ref="G3205:G3206"/>
    <mergeCell ref="A3291:B3291"/>
    <mergeCell ref="C3291:C3292"/>
    <mergeCell ref="D3291:D3292"/>
    <mergeCell ref="E3291:E3292"/>
    <mergeCell ref="F3291:F3292"/>
    <mergeCell ref="G3291:G3292"/>
    <mergeCell ref="A3306:B3306"/>
    <mergeCell ref="C3306:C3307"/>
    <mergeCell ref="D3306:D3307"/>
    <mergeCell ref="E3306:E3307"/>
    <mergeCell ref="F3306:F3307"/>
    <mergeCell ref="G3306:G3307"/>
    <mergeCell ref="A3240:G3240"/>
    <mergeCell ref="C3246:E3246"/>
    <mergeCell ref="A3266:B3266"/>
    <mergeCell ref="C3266:C3267"/>
    <mergeCell ref="D3266:D3267"/>
    <mergeCell ref="E3266:E3267"/>
    <mergeCell ref="F3266:F3267"/>
    <mergeCell ref="G3266:G3267"/>
    <mergeCell ref="A3280:B3280"/>
    <mergeCell ref="C3280:C3281"/>
    <mergeCell ref="D3280:D3281"/>
    <mergeCell ref="E3280:E3281"/>
    <mergeCell ref="F3280:F3281"/>
    <mergeCell ref="G3280:G3281"/>
    <mergeCell ref="A3366:B3366"/>
    <mergeCell ref="C3366:C3367"/>
    <mergeCell ref="D3366:D3367"/>
    <mergeCell ref="E3366:E3367"/>
    <mergeCell ref="F3366:F3367"/>
    <mergeCell ref="G3366:G3367"/>
    <mergeCell ref="A3381:B3381"/>
    <mergeCell ref="C3381:C3382"/>
    <mergeCell ref="D3381:D3382"/>
    <mergeCell ref="E3381:E3382"/>
    <mergeCell ref="F3381:F3382"/>
    <mergeCell ref="G3381:G3382"/>
    <mergeCell ref="A3315:G3315"/>
    <mergeCell ref="C3321:E3321"/>
    <mergeCell ref="A3341:B3341"/>
    <mergeCell ref="C3341:C3342"/>
    <mergeCell ref="D3341:D3342"/>
    <mergeCell ref="E3341:E3342"/>
    <mergeCell ref="F3341:F3342"/>
    <mergeCell ref="G3341:G3342"/>
    <mergeCell ref="A3355:B3355"/>
    <mergeCell ref="C3355:C3356"/>
    <mergeCell ref="D3355:D3356"/>
    <mergeCell ref="E3355:E3356"/>
    <mergeCell ref="F3355:F3356"/>
    <mergeCell ref="G3355:G3356"/>
    <mergeCell ref="A3441:B3441"/>
    <mergeCell ref="C3441:C3442"/>
    <mergeCell ref="D3441:D3442"/>
    <mergeCell ref="E3441:E3442"/>
    <mergeCell ref="F3441:F3442"/>
    <mergeCell ref="G3441:G3442"/>
    <mergeCell ref="A3456:B3456"/>
    <mergeCell ref="C3456:C3457"/>
    <mergeCell ref="D3456:D3457"/>
    <mergeCell ref="E3456:E3457"/>
    <mergeCell ref="F3456:F3457"/>
    <mergeCell ref="G3456:G3457"/>
    <mergeCell ref="A3390:G3390"/>
    <mergeCell ref="C3396:E3396"/>
    <mergeCell ref="A3416:B3416"/>
    <mergeCell ref="C3416:C3417"/>
    <mergeCell ref="D3416:D3417"/>
    <mergeCell ref="E3416:E3417"/>
    <mergeCell ref="F3416:F3417"/>
    <mergeCell ref="G3416:G3417"/>
    <mergeCell ref="A3430:B3430"/>
    <mergeCell ref="C3430:C3431"/>
    <mergeCell ref="D3430:D3431"/>
    <mergeCell ref="E3430:E3431"/>
    <mergeCell ref="F3430:F3431"/>
    <mergeCell ref="G3430:G3431"/>
    <mergeCell ref="A3516:B3516"/>
    <mergeCell ref="C3516:C3517"/>
    <mergeCell ref="D3516:D3517"/>
    <mergeCell ref="E3516:E3517"/>
    <mergeCell ref="F3516:F3517"/>
    <mergeCell ref="G3516:G3517"/>
    <mergeCell ref="A3531:B3531"/>
    <mergeCell ref="C3531:C3532"/>
    <mergeCell ref="D3531:D3532"/>
    <mergeCell ref="E3531:E3532"/>
    <mergeCell ref="F3531:F3532"/>
    <mergeCell ref="G3531:G3532"/>
    <mergeCell ref="A3465:G3465"/>
    <mergeCell ref="C3471:E3471"/>
    <mergeCell ref="A3491:B3491"/>
    <mergeCell ref="C3491:C3492"/>
    <mergeCell ref="D3491:D3492"/>
    <mergeCell ref="E3491:E3492"/>
    <mergeCell ref="F3491:F3492"/>
    <mergeCell ref="G3491:G3492"/>
    <mergeCell ref="A3505:B3505"/>
    <mergeCell ref="C3505:C3506"/>
    <mergeCell ref="D3505:D3506"/>
    <mergeCell ref="E3505:E3506"/>
    <mergeCell ref="F3505:F3506"/>
    <mergeCell ref="G3505:G3506"/>
    <mergeCell ref="A3591:B3591"/>
    <mergeCell ref="C3591:C3592"/>
    <mergeCell ref="D3591:D3592"/>
    <mergeCell ref="E3591:E3592"/>
    <mergeCell ref="F3591:F3592"/>
    <mergeCell ref="G3591:G3592"/>
    <mergeCell ref="A3606:B3606"/>
    <mergeCell ref="C3606:C3607"/>
    <mergeCell ref="D3606:D3607"/>
    <mergeCell ref="E3606:E3607"/>
    <mergeCell ref="F3606:F3607"/>
    <mergeCell ref="G3606:G3607"/>
    <mergeCell ref="A3540:G3540"/>
    <mergeCell ref="C3546:E3546"/>
    <mergeCell ref="A3566:B3566"/>
    <mergeCell ref="C3566:C3567"/>
    <mergeCell ref="D3566:D3567"/>
    <mergeCell ref="E3566:E3567"/>
    <mergeCell ref="F3566:F3567"/>
    <mergeCell ref="G3566:G3567"/>
    <mergeCell ref="A3580:B3580"/>
    <mergeCell ref="C3580:C3581"/>
    <mergeCell ref="D3580:D3581"/>
    <mergeCell ref="E3580:E3581"/>
    <mergeCell ref="F3580:F3581"/>
    <mergeCell ref="G3580:G3581"/>
    <mergeCell ref="A3666:B3666"/>
    <mergeCell ref="C3666:C3667"/>
    <mergeCell ref="D3666:D3667"/>
    <mergeCell ref="E3666:E3667"/>
    <mergeCell ref="F3666:F3667"/>
    <mergeCell ref="G3666:G3667"/>
    <mergeCell ref="A3681:B3681"/>
    <mergeCell ref="C3681:C3682"/>
    <mergeCell ref="D3681:D3682"/>
    <mergeCell ref="E3681:E3682"/>
    <mergeCell ref="F3681:F3682"/>
    <mergeCell ref="G3681:G3682"/>
    <mergeCell ref="A3615:G3615"/>
    <mergeCell ref="C3621:E3621"/>
    <mergeCell ref="A3641:B3641"/>
    <mergeCell ref="C3641:C3642"/>
    <mergeCell ref="D3641:D3642"/>
    <mergeCell ref="E3641:E3642"/>
    <mergeCell ref="F3641:F3642"/>
    <mergeCell ref="G3641:G3642"/>
    <mergeCell ref="A3655:B3655"/>
    <mergeCell ref="C3655:C3656"/>
    <mergeCell ref="D3655:D3656"/>
    <mergeCell ref="E3655:E3656"/>
    <mergeCell ref="F3655:F3656"/>
    <mergeCell ref="G3655:G3656"/>
    <mergeCell ref="A3741:B3741"/>
    <mergeCell ref="C3741:C3742"/>
    <mergeCell ref="D3741:D3742"/>
    <mergeCell ref="E3741:E3742"/>
    <mergeCell ref="F3741:F3742"/>
    <mergeCell ref="G3741:G3742"/>
    <mergeCell ref="A3756:B3756"/>
    <mergeCell ref="C3756:C3757"/>
    <mergeCell ref="D3756:D3757"/>
    <mergeCell ref="E3756:E3757"/>
    <mergeCell ref="F3756:F3757"/>
    <mergeCell ref="G3756:G3757"/>
    <mergeCell ref="A3690:G3690"/>
    <mergeCell ref="C3696:E3696"/>
    <mergeCell ref="A3716:B3716"/>
    <mergeCell ref="C3716:C3717"/>
    <mergeCell ref="D3716:D3717"/>
    <mergeCell ref="E3716:E3717"/>
    <mergeCell ref="F3716:F3717"/>
    <mergeCell ref="G3716:G3717"/>
    <mergeCell ref="A3730:B3730"/>
    <mergeCell ref="C3730:C3731"/>
    <mergeCell ref="D3730:D3731"/>
    <mergeCell ref="E3730:E3731"/>
    <mergeCell ref="F3730:F3731"/>
    <mergeCell ref="G3730:G3731"/>
    <mergeCell ref="A3816:B3816"/>
    <mergeCell ref="C3816:C3817"/>
    <mergeCell ref="D3816:D3817"/>
    <mergeCell ref="E3816:E3817"/>
    <mergeCell ref="F3816:F3817"/>
    <mergeCell ref="G3816:G3817"/>
    <mergeCell ref="A3831:B3831"/>
    <mergeCell ref="C3831:C3832"/>
    <mergeCell ref="D3831:D3832"/>
    <mergeCell ref="E3831:E3832"/>
    <mergeCell ref="F3831:F3832"/>
    <mergeCell ref="G3831:G3832"/>
    <mergeCell ref="A3765:G3765"/>
    <mergeCell ref="C3771:E3771"/>
    <mergeCell ref="A3791:B3791"/>
    <mergeCell ref="C3791:C3792"/>
    <mergeCell ref="D3791:D3792"/>
    <mergeCell ref="E3791:E3792"/>
    <mergeCell ref="F3791:F3792"/>
    <mergeCell ref="G3791:G3792"/>
    <mergeCell ref="A3805:B3805"/>
    <mergeCell ref="C3805:C3806"/>
    <mergeCell ref="D3805:D3806"/>
    <mergeCell ref="E3805:E3806"/>
    <mergeCell ref="F3805:F3806"/>
    <mergeCell ref="G3805:G3806"/>
    <mergeCell ref="A3891:B3891"/>
    <mergeCell ref="C3891:C3892"/>
    <mergeCell ref="D3891:D3892"/>
    <mergeCell ref="E3891:E3892"/>
    <mergeCell ref="F3891:F3892"/>
    <mergeCell ref="G3891:G3892"/>
    <mergeCell ref="A3906:B3906"/>
    <mergeCell ref="C3906:C3907"/>
    <mergeCell ref="D3906:D3907"/>
    <mergeCell ref="E3906:E3907"/>
    <mergeCell ref="F3906:F3907"/>
    <mergeCell ref="G3906:G3907"/>
    <mergeCell ref="A3840:G3840"/>
    <mergeCell ref="C3846:E3846"/>
    <mergeCell ref="A3866:B3866"/>
    <mergeCell ref="C3866:C3867"/>
    <mergeCell ref="D3866:D3867"/>
    <mergeCell ref="E3866:E3867"/>
    <mergeCell ref="F3866:F3867"/>
    <mergeCell ref="G3866:G3867"/>
    <mergeCell ref="A3880:B3880"/>
    <mergeCell ref="C3880:C3881"/>
    <mergeCell ref="D3880:D3881"/>
    <mergeCell ref="E3880:E3881"/>
    <mergeCell ref="F3880:F3881"/>
    <mergeCell ref="G3880:G3881"/>
    <mergeCell ref="A3966:B3966"/>
    <mergeCell ref="C3966:C3967"/>
    <mergeCell ref="D3966:D3967"/>
    <mergeCell ref="E3966:E3967"/>
    <mergeCell ref="F3966:F3967"/>
    <mergeCell ref="G3966:G3967"/>
    <mergeCell ref="A3981:B3981"/>
    <mergeCell ref="C3981:C3982"/>
    <mergeCell ref="D3981:D3982"/>
    <mergeCell ref="E3981:E3982"/>
    <mergeCell ref="F3981:F3982"/>
    <mergeCell ref="G3981:G3982"/>
    <mergeCell ref="A3915:G3915"/>
    <mergeCell ref="C3921:E3921"/>
    <mergeCell ref="A3941:B3941"/>
    <mergeCell ref="C3941:C3942"/>
    <mergeCell ref="D3941:D3942"/>
    <mergeCell ref="E3941:E3942"/>
    <mergeCell ref="F3941:F3942"/>
    <mergeCell ref="G3941:G3942"/>
    <mergeCell ref="A3955:B3955"/>
    <mergeCell ref="C3955:C3956"/>
    <mergeCell ref="D3955:D3956"/>
    <mergeCell ref="E3955:E3956"/>
    <mergeCell ref="F3955:F3956"/>
    <mergeCell ref="G3955:G3956"/>
    <mergeCell ref="A4056:B4056"/>
    <mergeCell ref="C4056:C4057"/>
    <mergeCell ref="D4056:D4057"/>
    <mergeCell ref="E4056:E4057"/>
    <mergeCell ref="F4056:F4057"/>
    <mergeCell ref="G4056:G4057"/>
    <mergeCell ref="A3990:G3990"/>
    <mergeCell ref="C3996:E3996"/>
    <mergeCell ref="A4016:B4016"/>
    <mergeCell ref="C4016:C4017"/>
    <mergeCell ref="D4016:D4017"/>
    <mergeCell ref="E4016:E4017"/>
    <mergeCell ref="F4016:F4017"/>
    <mergeCell ref="G4016:G4017"/>
    <mergeCell ref="A4030:B4030"/>
    <mergeCell ref="C4030:C4031"/>
    <mergeCell ref="D4030:D4031"/>
    <mergeCell ref="E4030:E4031"/>
    <mergeCell ref="F4030:F4031"/>
    <mergeCell ref="G4030:G4031"/>
    <mergeCell ref="A4041:B4041"/>
    <mergeCell ref="C4041:C4042"/>
    <mergeCell ref="D4041:D4042"/>
    <mergeCell ref="E4041:E4042"/>
    <mergeCell ref="F4041:F4042"/>
    <mergeCell ref="G4041:G4042"/>
  </mergeCells>
  <pageMargins left="1.1811023622047245" right="0.78740157480314965" top="1.1811023622047245" bottom="0.78740157480314965" header="0.39370078740157483" footer="0.39370078740157483"/>
  <pageSetup paperSize="9" scale="40" fitToHeight="0" orientation="portrait" r:id="rId1"/>
  <headerFooter>
    <oddHeader>&amp;L&amp;G</oddHeader>
  </headerFooter>
  <rowBreaks count="27" manualBreakCount="27">
    <brk id="74" max="6" man="1"/>
    <brk id="149" max="6" man="1"/>
    <brk id="299" max="6" man="1"/>
    <brk id="374" max="6" man="1"/>
    <brk id="449" max="6" man="1"/>
    <brk id="524" max="6" man="1"/>
    <brk id="599" max="6" man="1"/>
    <brk id="674" max="6" man="1"/>
    <brk id="749" max="6" man="1"/>
    <brk id="824" max="6" man="1"/>
    <brk id="899" max="6" man="1"/>
    <brk id="974" max="6" man="1"/>
    <brk id="1049" max="6" man="1"/>
    <brk id="1124" max="6" man="1"/>
    <brk id="1199" max="6" man="1"/>
    <brk id="1274" max="6" man="1"/>
    <brk id="1349" max="6" man="1"/>
    <brk id="1424" max="6" man="1"/>
    <brk id="1499" max="6" man="1"/>
    <brk id="1574" max="6" man="1"/>
    <brk id="1649" max="6" man="1"/>
    <brk id="1724" max="6" man="1"/>
    <brk id="1799" max="6" man="1"/>
    <brk id="1885" max="6" man="1"/>
    <brk id="1960" max="6" man="1"/>
    <brk id="2035" max="6" man="1"/>
    <brk id="2113"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89"/>
  <sheetViews>
    <sheetView showZeros="0" view="pageBreakPreview" topLeftCell="A61" zoomScaleNormal="100" zoomScaleSheetLayoutView="100" workbookViewId="0">
      <selection activeCell="E6" sqref="E6"/>
    </sheetView>
  </sheetViews>
  <sheetFormatPr baseColWidth="10" defaultColWidth="11.42578125" defaultRowHeight="20.100000000000001" customHeight="1"/>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76" customWidth="1"/>
    <col min="46" max="94" width="11.42578125" style="76"/>
    <col min="95" max="16384" width="11.42578125" style="8"/>
  </cols>
  <sheetData>
    <row r="1" spans="1:94" s="2" customFormat="1" ht="20.100000000000001" customHeight="1">
      <c r="A1" s="3" t="s">
        <v>7</v>
      </c>
      <c r="B1" s="3"/>
      <c r="C1" s="3" t="str">
        <f>Comitente</f>
        <v>DEPARTAMENTO DE HIDRAULICA</v>
      </c>
      <c r="D1" s="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row>
    <row r="2" spans="1:94" s="5" customFormat="1" ht="20.100000000000001" customHeight="1">
      <c r="A2" s="11" t="s">
        <v>8</v>
      </c>
      <c r="B2" s="11"/>
      <c r="C2" s="11" t="str">
        <f>Obra</f>
        <v>MEJORA DE LA RED DE RIEGO DEL VALLE DE JÁCHAL</v>
      </c>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row>
    <row r="3" spans="1:94" s="5" customFormat="1" ht="20.100000000000001" customHeight="1">
      <c r="A3" s="11" t="s">
        <v>12</v>
      </c>
      <c r="B3" s="11"/>
      <c r="C3" s="11" t="str">
        <f>Ubicación</f>
        <v>JACHAL</v>
      </c>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row>
    <row r="4" spans="1:94" s="5" customFormat="1" ht="20.100000000000001" customHeight="1">
      <c r="A4" s="11" t="s">
        <v>11</v>
      </c>
      <c r="B4" s="12"/>
      <c r="C4" s="57">
        <f>Licitación_N°</f>
        <v>0</v>
      </c>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row>
    <row r="5" spans="1:94" s="5" customFormat="1" ht="20.100000000000001" customHeight="1">
      <c r="A5" s="11" t="s">
        <v>13</v>
      </c>
      <c r="B5" s="12"/>
      <c r="C5" s="58">
        <f>Plazo_Obra</f>
        <v>560</v>
      </c>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row>
    <row r="6" spans="1:94" s="5" customFormat="1" ht="20.100000000000001" customHeight="1">
      <c r="A6" s="11" t="s">
        <v>9</v>
      </c>
      <c r="B6" s="11"/>
      <c r="C6" s="11">
        <f>Contratista</f>
        <v>0</v>
      </c>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row>
    <row r="7" spans="1:94" s="2" customFormat="1" ht="20.100000000000001" customHeight="1">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row>
    <row r="8" spans="1:94" s="2" customFormat="1" ht="20.100000000000001" customHeight="1">
      <c r="A8" s="693" t="s">
        <v>38</v>
      </c>
      <c r="B8" s="694"/>
      <c r="C8" s="694"/>
      <c r="D8" s="695"/>
      <c r="E8" s="7"/>
      <c r="F8" s="7"/>
      <c r="G8" s="7"/>
      <c r="H8" s="7"/>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row>
    <row r="10" spans="1:94" ht="20.100000000000001" customHeight="1">
      <c r="A10" s="667" t="s">
        <v>893</v>
      </c>
      <c r="B10" s="697" t="s">
        <v>0</v>
      </c>
      <c r="C10" s="697"/>
      <c r="D10" s="698" t="s">
        <v>10</v>
      </c>
      <c r="E10" s="40"/>
      <c r="F10" s="697" t="s">
        <v>16</v>
      </c>
      <c r="G10" s="697"/>
      <c r="H10" s="697"/>
      <c r="I10" s="697"/>
      <c r="J10" s="697"/>
      <c r="K10" s="697"/>
      <c r="L10" s="697"/>
      <c r="M10" s="697"/>
      <c r="N10" s="697"/>
      <c r="O10" s="697"/>
      <c r="P10" s="697"/>
      <c r="Q10" s="697"/>
      <c r="R10" s="697"/>
      <c r="S10" s="697"/>
      <c r="T10" s="697"/>
      <c r="U10" s="697"/>
      <c r="V10" s="697"/>
      <c r="W10" s="697"/>
      <c r="X10" s="19"/>
      <c r="Y10" s="696" t="s">
        <v>15</v>
      </c>
    </row>
    <row r="11" spans="1:94" ht="20.100000000000001" customHeight="1">
      <c r="A11" s="667"/>
      <c r="B11" s="697"/>
      <c r="C11" s="697"/>
      <c r="D11" s="698"/>
      <c r="E11" s="40">
        <v>0</v>
      </c>
      <c r="F11" s="26">
        <v>1</v>
      </c>
      <c r="G11" s="26">
        <f>F11+1</f>
        <v>2</v>
      </c>
      <c r="H11" s="26">
        <f t="shared" ref="H11:P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P11+1</f>
        <v>12</v>
      </c>
      <c r="R11" s="26">
        <f t="shared" ref="R11:W11" si="1">Q11+1</f>
        <v>13</v>
      </c>
      <c r="S11" s="26">
        <f t="shared" si="1"/>
        <v>14</v>
      </c>
      <c r="T11" s="26">
        <f t="shared" si="1"/>
        <v>15</v>
      </c>
      <c r="U11" s="26">
        <f t="shared" si="1"/>
        <v>16</v>
      </c>
      <c r="V11" s="26">
        <f t="shared" si="1"/>
        <v>17</v>
      </c>
      <c r="W11" s="26">
        <f t="shared" si="1"/>
        <v>18</v>
      </c>
      <c r="X11" s="20"/>
      <c r="Y11" s="696"/>
    </row>
    <row r="12" spans="1:94" ht="20.100000000000001" customHeight="1">
      <c r="A12" s="27"/>
      <c r="B12" s="44"/>
      <c r="C12" s="44"/>
      <c r="D12" s="45"/>
      <c r="E12" s="40"/>
      <c r="F12" s="28"/>
      <c r="G12" s="48"/>
      <c r="H12" s="48"/>
      <c r="I12" s="48"/>
      <c r="J12" s="48"/>
      <c r="K12" s="48"/>
      <c r="L12" s="48"/>
      <c r="M12" s="48"/>
      <c r="N12" s="48"/>
      <c r="O12" s="48"/>
      <c r="P12" s="48"/>
      <c r="Q12" s="48"/>
      <c r="R12" s="645"/>
      <c r="S12" s="645"/>
      <c r="T12" s="645"/>
      <c r="U12" s="645"/>
      <c r="V12" s="645"/>
      <c r="W12" s="645"/>
      <c r="X12" s="20"/>
      <c r="Y12" s="69"/>
    </row>
    <row r="13" spans="1:94" ht="20.100000000000001" customHeight="1">
      <c r="A13" s="51">
        <f ca="1">INDIRECT("Datos!B"&amp;MATCH("RUBRO ITEM",Datos!B:B,0)+ROW()-MATCH("RUBRO ITEM",A:A,0)-1)</f>
        <v>1</v>
      </c>
      <c r="B13" s="29" t="str">
        <f t="shared" ref="B13:B39" ca="1" si="2">IFERROR(VLOOKUP(A13,T_Computo_Presupuesto,2,FALSE),"")</f>
        <v>PROYECTO EJECUTIVO</v>
      </c>
      <c r="C13" s="30"/>
      <c r="D13" s="13">
        <f t="shared" ref="D13:D39" ca="1" si="3">IFERROR(VLOOKUP(A13,T_Computo_Presupuesto,9,FALSE),0)</f>
        <v>0</v>
      </c>
      <c r="E13" s="31"/>
      <c r="F13" s="646"/>
      <c r="G13" s="646"/>
      <c r="H13" s="646"/>
      <c r="I13" s="646"/>
      <c r="J13" s="646"/>
      <c r="K13" s="646"/>
      <c r="L13" s="646"/>
      <c r="M13" s="646"/>
      <c r="N13" s="646"/>
      <c r="O13" s="646"/>
      <c r="P13" s="646"/>
      <c r="Q13" s="646"/>
      <c r="R13" s="646"/>
      <c r="S13" s="646"/>
      <c r="T13" s="646"/>
      <c r="U13" s="646"/>
      <c r="V13" s="646"/>
      <c r="W13" s="646"/>
      <c r="X13" s="21"/>
      <c r="Y13" s="22">
        <f t="shared" ref="Y13:Y54" si="4">SUM(F13:W13)</f>
        <v>0</v>
      </c>
    </row>
    <row r="14" spans="1:94" ht="20.100000000000001" customHeight="1">
      <c r="A14" s="51">
        <f ca="1">INDIRECT("Datos!B"&amp;MATCH("RUBRO ITEM",Datos!B:B,0)+ROW()-MATCH("RUBRO ITEM",A:A,0)-1)</f>
        <v>2</v>
      </c>
      <c r="B14" s="29" t="str">
        <f t="shared" ca="1" si="2"/>
        <v>TAREAS GENERALES</v>
      </c>
      <c r="C14" s="30"/>
      <c r="D14" s="13">
        <f t="shared" ca="1" si="3"/>
        <v>0</v>
      </c>
      <c r="E14" s="41"/>
      <c r="F14" s="644"/>
      <c r="G14" s="644"/>
      <c r="H14" s="644"/>
      <c r="I14" s="644"/>
      <c r="J14" s="644"/>
      <c r="K14" s="644"/>
      <c r="L14" s="644"/>
      <c r="M14" s="644"/>
      <c r="N14" s="644"/>
      <c r="O14" s="644"/>
      <c r="P14" s="644"/>
      <c r="Q14" s="644"/>
      <c r="R14" s="644"/>
      <c r="S14" s="644"/>
      <c r="T14" s="647"/>
      <c r="U14" s="647"/>
      <c r="V14" s="647"/>
      <c r="W14" s="647"/>
      <c r="X14" s="23"/>
      <c r="Y14" s="22">
        <f t="shared" si="4"/>
        <v>0</v>
      </c>
    </row>
    <row r="15" spans="1:94" ht="20.100000000000001" customHeight="1">
      <c r="A15" s="51" t="str">
        <f ca="1">INDIRECT("Datos!B"&amp;MATCH("RUBRO ITEM",Datos!B:B,0)+ROW()-MATCH("RUBRO ITEM",A:A,0)-1)</f>
        <v>2.1</v>
      </c>
      <c r="B15" s="29" t="str">
        <f t="shared" ca="1" si="2"/>
        <v>Limpieza inicial y Relevamientos Topograficos</v>
      </c>
      <c r="C15" s="30"/>
      <c r="D15" s="13">
        <f t="shared" ca="1" si="3"/>
        <v>0</v>
      </c>
      <c r="E15" s="41"/>
      <c r="F15" s="644"/>
      <c r="G15" s="644"/>
      <c r="H15" s="643"/>
      <c r="I15" s="644"/>
      <c r="J15" s="644"/>
      <c r="K15" s="644"/>
      <c r="L15" s="644"/>
      <c r="M15" s="644"/>
      <c r="N15" s="644"/>
      <c r="O15" s="644"/>
      <c r="P15" s="644"/>
      <c r="Q15" s="644"/>
      <c r="R15" s="644"/>
      <c r="S15" s="644"/>
      <c r="T15" s="647"/>
      <c r="U15" s="647"/>
      <c r="V15" s="647"/>
      <c r="W15" s="647"/>
      <c r="X15" s="23"/>
      <c r="Y15" s="22">
        <f t="shared" si="4"/>
        <v>0</v>
      </c>
    </row>
    <row r="16" spans="1:94" ht="20.100000000000001" customHeight="1">
      <c r="A16" s="51" t="str">
        <f ca="1">INDIRECT("Datos!B"&amp;MATCH("RUBRO ITEM",Datos!B:B,0)+ROW()-MATCH("RUBRO ITEM",A:A,0)-1)</f>
        <v>2.2</v>
      </c>
      <c r="B16" s="29" t="str">
        <f t="shared" ca="1" si="2"/>
        <v>Replanteo y Ajustes</v>
      </c>
      <c r="C16" s="30"/>
      <c r="D16" s="13">
        <f t="shared" ca="1" si="3"/>
        <v>0</v>
      </c>
      <c r="E16" s="41"/>
      <c r="F16" s="644"/>
      <c r="G16" s="644"/>
      <c r="H16" s="643"/>
      <c r="I16" s="644"/>
      <c r="J16" s="644"/>
      <c r="K16" s="644"/>
      <c r="L16" s="644"/>
      <c r="M16" s="644"/>
      <c r="N16" s="644"/>
      <c r="O16" s="644"/>
      <c r="P16" s="644"/>
      <c r="Q16" s="644"/>
      <c r="R16" s="644"/>
      <c r="S16" s="644"/>
      <c r="T16" s="647"/>
      <c r="U16" s="647"/>
      <c r="V16" s="647"/>
      <c r="W16" s="647"/>
      <c r="X16" s="23"/>
      <c r="Y16" s="22">
        <f t="shared" si="4"/>
        <v>0</v>
      </c>
    </row>
    <row r="17" spans="1:25" ht="20.100000000000001" customHeight="1">
      <c r="A17" s="51">
        <f ca="1">INDIRECT("Datos!B"&amp;MATCH("RUBRO ITEM",Datos!B:B,0)+ROW()-MATCH("RUBRO ITEM",A:A,0)-1)</f>
        <v>3</v>
      </c>
      <c r="B17" s="29" t="str">
        <f t="shared" ca="1" si="2"/>
        <v>AZUD PACHIMOCO</v>
      </c>
      <c r="C17" s="30"/>
      <c r="D17" s="13">
        <f t="shared" ca="1" si="3"/>
        <v>0</v>
      </c>
      <c r="E17" s="41"/>
      <c r="F17" s="644"/>
      <c r="G17" s="644"/>
      <c r="H17" s="644"/>
      <c r="I17" s="644"/>
      <c r="J17" s="644"/>
      <c r="K17" s="644"/>
      <c r="L17" s="644"/>
      <c r="M17" s="644"/>
      <c r="N17" s="644"/>
      <c r="O17" s="644"/>
      <c r="P17" s="644"/>
      <c r="Q17" s="644"/>
      <c r="R17" s="644"/>
      <c r="S17" s="644"/>
      <c r="T17" s="647"/>
      <c r="U17" s="647"/>
      <c r="V17" s="647"/>
      <c r="W17" s="647"/>
      <c r="X17" s="23"/>
      <c r="Y17" s="22">
        <f t="shared" si="4"/>
        <v>0</v>
      </c>
    </row>
    <row r="18" spans="1:25" ht="20.100000000000001" customHeight="1">
      <c r="A18" s="51" t="str">
        <f ca="1">INDIRECT("Datos!B"&amp;MATCH("RUBRO ITEM",Datos!B:B,0)+ROW()-MATCH("RUBRO ITEM",A:A,0)-1)</f>
        <v>3.1</v>
      </c>
      <c r="B18" s="29" t="str">
        <f t="shared" ca="1" si="2"/>
        <v>Compuertas Frontales</v>
      </c>
      <c r="C18" s="30"/>
      <c r="D18" s="13">
        <f t="shared" ca="1" si="3"/>
        <v>0</v>
      </c>
      <c r="E18" s="41"/>
      <c r="F18" s="644"/>
      <c r="G18" s="644"/>
      <c r="H18" s="644"/>
      <c r="I18" s="644"/>
      <c r="J18" s="644"/>
      <c r="K18" s="644"/>
      <c r="L18" s="644"/>
      <c r="M18" s="644"/>
      <c r="N18" s="644"/>
      <c r="O18" s="644"/>
      <c r="P18" s="644"/>
      <c r="Q18" s="644"/>
      <c r="R18" s="644"/>
      <c r="S18" s="644"/>
      <c r="T18" s="647"/>
      <c r="U18" s="647"/>
      <c r="V18" s="647"/>
      <c r="W18" s="647"/>
      <c r="X18" s="23"/>
      <c r="Y18" s="22">
        <f t="shared" si="4"/>
        <v>0</v>
      </c>
    </row>
    <row r="19" spans="1:25" ht="20.100000000000001" customHeight="1">
      <c r="A19" s="51" t="str">
        <f ca="1">INDIRECT("Datos!B"&amp;MATCH("RUBRO ITEM",Datos!B:B,0)+ROW()-MATCH("RUBRO ITEM",A:A,0)-1)</f>
        <v>3.1.1</v>
      </c>
      <c r="B19" s="29" t="str">
        <f t="shared" ca="1" si="2"/>
        <v>Reemplazo de compuertas frontales azud</v>
      </c>
      <c r="C19" s="30"/>
      <c r="D19" s="13">
        <f t="shared" ca="1" si="3"/>
        <v>0</v>
      </c>
      <c r="E19" s="41"/>
      <c r="F19" s="644"/>
      <c r="G19" s="644"/>
      <c r="H19" s="643"/>
      <c r="I19" s="644"/>
      <c r="J19" s="644"/>
      <c r="K19" s="644"/>
      <c r="L19" s="644"/>
      <c r="M19" s="644"/>
      <c r="N19" s="644"/>
      <c r="O19" s="644"/>
      <c r="P19" s="644"/>
      <c r="Q19" s="644"/>
      <c r="R19" s="644"/>
      <c r="S19" s="644"/>
      <c r="T19" s="647"/>
      <c r="U19" s="647"/>
      <c r="V19" s="647"/>
      <c r="W19" s="647"/>
      <c r="X19" s="23"/>
      <c r="Y19" s="22">
        <f t="shared" si="4"/>
        <v>0</v>
      </c>
    </row>
    <row r="20" spans="1:25" ht="20.100000000000001" customHeight="1">
      <c r="A20" s="51" t="str">
        <f ca="1">INDIRECT("Datos!B"&amp;MATCH("RUBRO ITEM",Datos!B:B,0)+ROW()-MATCH("RUBRO ITEM",A:A,0)-1)</f>
        <v>3.1.2</v>
      </c>
      <c r="B20" s="29" t="str">
        <f t="shared" ca="1" si="2"/>
        <v>Motorizacion/Electrificacion compuertas frontales azud</v>
      </c>
      <c r="C20" s="30"/>
      <c r="D20" s="13">
        <f t="shared" ca="1" si="3"/>
        <v>0</v>
      </c>
      <c r="E20" s="41"/>
      <c r="F20" s="644"/>
      <c r="G20" s="644"/>
      <c r="H20" s="644"/>
      <c r="I20" s="644"/>
      <c r="J20" s="644"/>
      <c r="K20" s="644"/>
      <c r="L20" s="644"/>
      <c r="M20" s="644"/>
      <c r="N20" s="644"/>
      <c r="O20" s="644"/>
      <c r="P20" s="644"/>
      <c r="Q20" s="644"/>
      <c r="R20" s="644"/>
      <c r="S20" s="644"/>
      <c r="T20" s="647"/>
      <c r="U20" s="647"/>
      <c r="V20" s="647"/>
      <c r="W20" s="647"/>
      <c r="X20" s="23"/>
      <c r="Y20" s="22">
        <f t="shared" si="4"/>
        <v>0</v>
      </c>
    </row>
    <row r="21" spans="1:25" ht="20.100000000000001" customHeight="1">
      <c r="A21" s="51" t="str">
        <f ca="1">INDIRECT("Datos!B"&amp;MATCH("RUBRO ITEM",Datos!B:B,0)+ROW()-MATCH("RUBRO ITEM",A:A,0)-1)</f>
        <v>3.1.3</v>
      </c>
      <c r="B21" s="29" t="str">
        <f t="shared" ca="1" si="2"/>
        <v>Grupo electrógeno 20kVA</v>
      </c>
      <c r="C21" s="30"/>
      <c r="D21" s="13">
        <f t="shared" ca="1" si="3"/>
        <v>0</v>
      </c>
      <c r="E21" s="41"/>
      <c r="F21" s="644"/>
      <c r="G21" s="644"/>
      <c r="H21" s="643"/>
      <c r="I21" s="644"/>
      <c r="J21" s="644"/>
      <c r="K21" s="644"/>
      <c r="L21" s="644"/>
      <c r="M21" s="644"/>
      <c r="N21" s="644"/>
      <c r="O21" s="644"/>
      <c r="P21" s="644"/>
      <c r="Q21" s="644"/>
      <c r="R21" s="644"/>
      <c r="S21" s="644"/>
      <c r="T21" s="647"/>
      <c r="U21" s="647"/>
      <c r="V21" s="647"/>
      <c r="W21" s="647"/>
      <c r="X21" s="23"/>
      <c r="Y21" s="22">
        <f t="shared" si="4"/>
        <v>0</v>
      </c>
    </row>
    <row r="22" spans="1:25" ht="20.100000000000001" customHeight="1">
      <c r="A22" s="51" t="str">
        <f ca="1">INDIRECT("Datos!B"&amp;MATCH("RUBRO ITEM",Datos!B:B,0)+ROW()-MATCH("RUBRO ITEM",A:A,0)-1)</f>
        <v>3.2</v>
      </c>
      <c r="B22" s="29" t="str">
        <f t="shared" ca="1" si="2"/>
        <v>Desripiador Margen Derecha</v>
      </c>
      <c r="C22" s="30"/>
      <c r="D22" s="13">
        <f t="shared" ca="1" si="3"/>
        <v>0</v>
      </c>
      <c r="E22" s="41"/>
      <c r="F22" s="644"/>
      <c r="G22" s="644"/>
      <c r="H22" s="643"/>
      <c r="I22" s="644"/>
      <c r="J22" s="644"/>
      <c r="K22" s="644"/>
      <c r="L22" s="644"/>
      <c r="M22" s="644"/>
      <c r="N22" s="644"/>
      <c r="O22" s="644"/>
      <c r="P22" s="644"/>
      <c r="Q22" s="644"/>
      <c r="R22" s="644"/>
      <c r="S22" s="644"/>
      <c r="T22" s="647"/>
      <c r="U22" s="647"/>
      <c r="V22" s="647"/>
      <c r="W22" s="647"/>
      <c r="X22" s="23"/>
      <c r="Y22" s="22">
        <f t="shared" si="4"/>
        <v>0</v>
      </c>
    </row>
    <row r="23" spans="1:25" ht="20.100000000000001" customHeight="1">
      <c r="A23" s="51" t="str">
        <f ca="1">INDIRECT("Datos!B"&amp;MATCH("RUBRO ITEM",Datos!B:B,0)+ROW()-MATCH("RUBRO ITEM",A:A,0)-1)</f>
        <v>3.2.1</v>
      </c>
      <c r="B23" s="29" t="str">
        <f t="shared" ca="1" si="2"/>
        <v>Reemplazo de compuertas desripiador</v>
      </c>
      <c r="C23" s="30"/>
      <c r="D23" s="13">
        <f t="shared" ca="1" si="3"/>
        <v>0</v>
      </c>
      <c r="E23" s="41"/>
      <c r="F23" s="644"/>
      <c r="G23" s="644"/>
      <c r="H23" s="643"/>
      <c r="I23" s="644"/>
      <c r="J23" s="644"/>
      <c r="K23" s="644"/>
      <c r="L23" s="644"/>
      <c r="M23" s="644"/>
      <c r="N23" s="644"/>
      <c r="O23" s="644"/>
      <c r="P23" s="644"/>
      <c r="Q23" s="644"/>
      <c r="R23" s="644"/>
      <c r="S23" s="644"/>
      <c r="T23" s="647"/>
      <c r="U23" s="647"/>
      <c r="V23" s="647"/>
      <c r="W23" s="647"/>
      <c r="X23" s="23"/>
      <c r="Y23" s="22">
        <f t="shared" si="4"/>
        <v>0</v>
      </c>
    </row>
    <row r="24" spans="1:25" ht="20.100000000000001" customHeight="1">
      <c r="A24" s="51" t="str">
        <f ca="1">INDIRECT("Datos!B"&amp;MATCH("RUBRO ITEM",Datos!B:B,0)+ROW()-MATCH("RUBRO ITEM",A:A,0)-1)</f>
        <v>3.3</v>
      </c>
      <c r="B24" s="29" t="str">
        <f t="shared" ca="1" si="2"/>
        <v>Obra de Toma</v>
      </c>
      <c r="C24" s="30"/>
      <c r="D24" s="13">
        <f t="shared" ca="1" si="3"/>
        <v>0</v>
      </c>
      <c r="E24" s="41"/>
      <c r="F24" s="644"/>
      <c r="G24" s="644"/>
      <c r="H24" s="644"/>
      <c r="I24" s="644"/>
      <c r="J24" s="644"/>
      <c r="K24" s="644"/>
      <c r="L24" s="644"/>
      <c r="M24" s="644"/>
      <c r="N24" s="644"/>
      <c r="O24" s="644"/>
      <c r="P24" s="644"/>
      <c r="Q24" s="644"/>
      <c r="R24" s="644"/>
      <c r="S24" s="644"/>
      <c r="T24" s="647"/>
      <c r="U24" s="647"/>
      <c r="V24" s="647"/>
      <c r="W24" s="647"/>
      <c r="X24" s="23"/>
      <c r="Y24" s="22">
        <f t="shared" si="4"/>
        <v>0</v>
      </c>
    </row>
    <row r="25" spans="1:25" ht="20.100000000000001" customHeight="1">
      <c r="A25" s="51" t="str">
        <f ca="1">INDIRECT("Datos!B"&amp;MATCH("RUBRO ITEM",Datos!B:B,0)+ROW()-MATCH("RUBRO ITEM",A:A,0)-1)</f>
        <v>3.3.1</v>
      </c>
      <c r="B25" s="29" t="str">
        <f t="shared" ca="1" si="2"/>
        <v>Reemplazo de compuertas obra de toma</v>
      </c>
      <c r="C25" s="30"/>
      <c r="D25" s="13">
        <f t="shared" ca="1" si="3"/>
        <v>0</v>
      </c>
      <c r="E25" s="41"/>
      <c r="F25" s="644"/>
      <c r="G25" s="644"/>
      <c r="H25" s="643"/>
      <c r="I25" s="644"/>
      <c r="J25" s="644"/>
      <c r="K25" s="644"/>
      <c r="L25" s="644"/>
      <c r="M25" s="644"/>
      <c r="N25" s="644"/>
      <c r="O25" s="644"/>
      <c r="P25" s="644"/>
      <c r="Q25" s="644"/>
      <c r="R25" s="644"/>
      <c r="S25" s="644"/>
      <c r="T25" s="647"/>
      <c r="U25" s="647"/>
      <c r="V25" s="647"/>
      <c r="W25" s="647"/>
      <c r="X25" s="23"/>
      <c r="Y25" s="22">
        <f t="shared" si="4"/>
        <v>0</v>
      </c>
    </row>
    <row r="26" spans="1:25" ht="20.100000000000001" customHeight="1">
      <c r="A26" s="51" t="str">
        <f ca="1">INDIRECT("Datos!B"&amp;MATCH("RUBRO ITEM",Datos!B:B,0)+ROW()-MATCH("RUBRO ITEM",A:A,0)-1)</f>
        <v>3.3.2</v>
      </c>
      <c r="B26" s="29" t="str">
        <f t="shared" ca="1" si="2"/>
        <v>Motorizacion/Electrificacion obra de toma</v>
      </c>
      <c r="C26" s="30"/>
      <c r="D26" s="13">
        <f t="shared" ca="1" si="3"/>
        <v>0</v>
      </c>
      <c r="E26" s="41"/>
      <c r="F26" s="644"/>
      <c r="G26" s="644"/>
      <c r="H26" s="643"/>
      <c r="I26" s="644"/>
      <c r="J26" s="644"/>
      <c r="K26" s="644"/>
      <c r="L26" s="644"/>
      <c r="M26" s="644"/>
      <c r="N26" s="644"/>
      <c r="O26" s="644"/>
      <c r="P26" s="644"/>
      <c r="Q26" s="644"/>
      <c r="R26" s="644"/>
      <c r="S26" s="644"/>
      <c r="T26" s="647"/>
      <c r="U26" s="647"/>
      <c r="V26" s="647"/>
      <c r="W26" s="647"/>
      <c r="X26" s="23"/>
      <c r="Y26" s="22">
        <f t="shared" si="4"/>
        <v>0</v>
      </c>
    </row>
    <row r="27" spans="1:25" ht="20.100000000000001" customHeight="1">
      <c r="A27" s="51" t="str">
        <f ca="1">INDIRECT("Datos!B"&amp;MATCH("RUBRO ITEM",Datos!B:B,0)+ROW()-MATCH("RUBRO ITEM",A:A,0)-1)</f>
        <v>3.4</v>
      </c>
      <c r="B27" s="29" t="str">
        <f t="shared" ca="1" si="2"/>
        <v>Obras Anexas</v>
      </c>
      <c r="C27" s="30"/>
      <c r="D27" s="13">
        <f t="shared" ca="1" si="3"/>
        <v>0</v>
      </c>
      <c r="E27" s="41"/>
      <c r="F27" s="644"/>
      <c r="G27" s="644"/>
      <c r="H27" s="644"/>
      <c r="I27" s="644"/>
      <c r="J27" s="644"/>
      <c r="K27" s="644"/>
      <c r="L27" s="644"/>
      <c r="M27" s="644"/>
      <c r="N27" s="644"/>
      <c r="O27" s="644"/>
      <c r="P27" s="644"/>
      <c r="Q27" s="644"/>
      <c r="R27" s="644"/>
      <c r="S27" s="644"/>
      <c r="T27" s="646"/>
      <c r="U27" s="646"/>
      <c r="V27" s="646"/>
      <c r="W27" s="646"/>
      <c r="X27" s="23"/>
      <c r="Y27" s="22">
        <f t="shared" si="4"/>
        <v>0</v>
      </c>
    </row>
    <row r="28" spans="1:25" ht="20.100000000000001" customHeight="1">
      <c r="A28" s="51" t="str">
        <f ca="1">INDIRECT("Datos!B"&amp;MATCH("RUBRO ITEM",Datos!B:B,0)+ROW()-MATCH("RUBRO ITEM",A:A,0)-1)</f>
        <v>3.4.1</v>
      </c>
      <c r="B28" s="29" t="str">
        <f t="shared" ca="1" si="2"/>
        <v>Reacondicionamiento pasarela</v>
      </c>
      <c r="C28" s="30"/>
      <c r="D28" s="13">
        <f t="shared" ca="1" si="3"/>
        <v>0</v>
      </c>
      <c r="E28" s="41"/>
      <c r="F28" s="644"/>
      <c r="G28" s="644"/>
      <c r="H28" s="643"/>
      <c r="I28" s="644"/>
      <c r="J28" s="644"/>
      <c r="K28" s="644"/>
      <c r="L28" s="644"/>
      <c r="M28" s="644"/>
      <c r="N28" s="644"/>
      <c r="O28" s="644"/>
      <c r="P28" s="644"/>
      <c r="Q28" s="644"/>
      <c r="R28" s="644"/>
      <c r="S28" s="644"/>
      <c r="T28" s="646"/>
      <c r="U28" s="646"/>
      <c r="V28" s="646"/>
      <c r="W28" s="646"/>
      <c r="X28" s="23"/>
      <c r="Y28" s="22">
        <f t="shared" si="4"/>
        <v>0</v>
      </c>
    </row>
    <row r="29" spans="1:25" ht="20.100000000000001" customHeight="1">
      <c r="A29" s="51" t="str">
        <f ca="1">INDIRECT("Datos!B"&amp;MATCH("RUBRO ITEM",Datos!B:B,0)+ROW()-MATCH("RUBRO ITEM",A:A,0)-1)</f>
        <v>3.4.2</v>
      </c>
      <c r="B29" s="29" t="str">
        <f t="shared" ca="1" si="2"/>
        <v>Mantenimiento grupo electrogeno existente</v>
      </c>
      <c r="C29" s="30"/>
      <c r="D29" s="13">
        <f t="shared" ca="1" si="3"/>
        <v>0</v>
      </c>
      <c r="E29" s="41"/>
      <c r="F29" s="644"/>
      <c r="G29" s="644"/>
      <c r="H29" s="644"/>
      <c r="I29" s="644"/>
      <c r="J29" s="644"/>
      <c r="K29" s="644"/>
      <c r="L29" s="644"/>
      <c r="M29" s="644"/>
      <c r="N29" s="644"/>
      <c r="O29" s="644"/>
      <c r="P29" s="644"/>
      <c r="Q29" s="644"/>
      <c r="R29" s="644"/>
      <c r="S29" s="644"/>
      <c r="T29" s="646"/>
      <c r="U29" s="646"/>
      <c r="V29" s="646"/>
      <c r="W29" s="646"/>
      <c r="X29" s="23"/>
      <c r="Y29" s="22">
        <f t="shared" si="4"/>
        <v>0</v>
      </c>
    </row>
    <row r="30" spans="1:25" ht="20.100000000000001" customHeight="1">
      <c r="A30" s="51" t="str">
        <f ca="1">INDIRECT("Datos!B"&amp;MATCH("RUBRO ITEM",Datos!B:B,0)+ROW()-MATCH("RUBRO ITEM",A:A,0)-1)</f>
        <v>3.4.3</v>
      </c>
      <c r="B30" s="29" t="str">
        <f t="shared" ca="1" si="2"/>
        <v>Pararrayos</v>
      </c>
      <c r="C30" s="30"/>
      <c r="D30" s="13">
        <f t="shared" ca="1" si="3"/>
        <v>0</v>
      </c>
      <c r="E30" s="41"/>
      <c r="F30" s="644"/>
      <c r="G30" s="644"/>
      <c r="H30" s="643"/>
      <c r="I30" s="644"/>
      <c r="J30" s="644"/>
      <c r="K30" s="644"/>
      <c r="L30" s="644"/>
      <c r="M30" s="644"/>
      <c r="N30" s="644"/>
      <c r="O30" s="644"/>
      <c r="P30" s="644"/>
      <c r="Q30" s="644"/>
      <c r="R30" s="644"/>
      <c r="S30" s="644"/>
      <c r="T30" s="646"/>
      <c r="U30" s="646"/>
      <c r="V30" s="646"/>
      <c r="W30" s="646"/>
      <c r="X30" s="23"/>
      <c r="Y30" s="22">
        <f t="shared" si="4"/>
        <v>0</v>
      </c>
    </row>
    <row r="31" spans="1:25" ht="20.100000000000001" customHeight="1">
      <c r="A31" s="51" t="str">
        <f ca="1">INDIRECT("Datos!B"&amp;MATCH("RUBRO ITEM",Datos!B:B,0)+ROW()-MATCH("RUBRO ITEM",A:A,0)-1)</f>
        <v>3.4.4</v>
      </c>
      <c r="B31" s="29" t="str">
        <f t="shared" ca="1" si="2"/>
        <v>Puesta a tierra</v>
      </c>
      <c r="C31" s="30"/>
      <c r="D31" s="13">
        <f t="shared" ca="1" si="3"/>
        <v>0</v>
      </c>
      <c r="E31" s="41"/>
      <c r="F31" s="648"/>
      <c r="G31" s="648"/>
      <c r="H31" s="648"/>
      <c r="I31" s="648"/>
      <c r="J31" s="648"/>
      <c r="K31" s="648"/>
      <c r="L31" s="648"/>
      <c r="M31" s="648"/>
      <c r="N31" s="648"/>
      <c r="O31" s="648"/>
      <c r="P31" s="648"/>
      <c r="Q31" s="648"/>
      <c r="R31" s="649"/>
      <c r="S31" s="649"/>
      <c r="T31" s="649"/>
      <c r="U31" s="649"/>
      <c r="V31" s="649"/>
      <c r="W31" s="649"/>
      <c r="X31" s="23"/>
      <c r="Y31" s="22">
        <f t="shared" si="4"/>
        <v>0</v>
      </c>
    </row>
    <row r="32" spans="1:25" ht="20.100000000000001" customHeight="1">
      <c r="A32" s="51">
        <f ca="1">INDIRECT("Datos!B"&amp;MATCH("RUBRO ITEM",Datos!B:B,0)+ROW()-MATCH("RUBRO ITEM",A:A,0)-1)</f>
        <v>4</v>
      </c>
      <c r="B32" s="29" t="str">
        <f t="shared" ca="1" si="2"/>
        <v>DESARENADOR</v>
      </c>
      <c r="C32" s="30"/>
      <c r="D32" s="13">
        <f t="shared" ca="1" si="3"/>
        <v>0</v>
      </c>
      <c r="E32" s="41"/>
      <c r="F32" s="437"/>
      <c r="G32" s="437"/>
      <c r="H32" s="437"/>
      <c r="I32" s="437"/>
      <c r="J32" s="437"/>
      <c r="K32" s="437"/>
      <c r="L32" s="437"/>
      <c r="M32" s="437"/>
      <c r="N32" s="437"/>
      <c r="O32" s="437"/>
      <c r="P32" s="437"/>
      <c r="Q32" s="437"/>
      <c r="R32" s="646"/>
      <c r="S32" s="646"/>
      <c r="T32" s="646"/>
      <c r="U32" s="646"/>
      <c r="V32" s="646"/>
      <c r="W32" s="646"/>
      <c r="X32" s="23"/>
      <c r="Y32" s="22">
        <f t="shared" si="4"/>
        <v>0</v>
      </c>
    </row>
    <row r="33" spans="1:25" ht="20.100000000000001" customHeight="1">
      <c r="A33" s="51" t="str">
        <f ca="1">INDIRECT("Datos!B"&amp;MATCH("RUBRO ITEM",Datos!B:B,0)+ROW()-MATCH("RUBRO ITEM",A:A,0)-1)</f>
        <v>4.1</v>
      </c>
      <c r="B33" s="29" t="str">
        <f t="shared" ca="1" si="2"/>
        <v>Rehabilitación compuerta de limpieza</v>
      </c>
      <c r="C33" s="30"/>
      <c r="D33" s="13">
        <f t="shared" ca="1" si="3"/>
        <v>0</v>
      </c>
      <c r="E33" s="41"/>
      <c r="F33" s="437"/>
      <c r="G33" s="437"/>
      <c r="H33" s="437"/>
      <c r="I33" s="437"/>
      <c r="J33" s="437"/>
      <c r="K33" s="437"/>
      <c r="L33" s="437"/>
      <c r="M33" s="437"/>
      <c r="N33" s="437"/>
      <c r="O33" s="437"/>
      <c r="P33" s="437"/>
      <c r="Q33" s="437"/>
      <c r="R33" s="646"/>
      <c r="S33" s="646"/>
      <c r="T33" s="646"/>
      <c r="U33" s="646"/>
      <c r="V33" s="646"/>
      <c r="W33" s="646"/>
      <c r="X33" s="23"/>
      <c r="Y33" s="22">
        <f t="shared" si="4"/>
        <v>0</v>
      </c>
    </row>
    <row r="34" spans="1:25" ht="20.100000000000001" customHeight="1">
      <c r="A34" s="51" t="str">
        <f ca="1">INDIRECT("Datos!B"&amp;MATCH("RUBRO ITEM",Datos!B:B,0)+ROW()-MATCH("RUBRO ITEM",A:A,0)-1)</f>
        <v>4.1.1</v>
      </c>
      <c r="B34" s="29" t="str">
        <f t="shared" ca="1" si="2"/>
        <v>Reemplazo de compuertas desarenador</v>
      </c>
      <c r="C34" s="30"/>
      <c r="D34" s="13">
        <f t="shared" ca="1" si="3"/>
        <v>0</v>
      </c>
      <c r="E34" s="41"/>
      <c r="F34" s="437"/>
      <c r="G34" s="437"/>
      <c r="H34" s="437"/>
      <c r="I34" s="437"/>
      <c r="J34" s="437"/>
      <c r="K34" s="437"/>
      <c r="L34" s="437"/>
      <c r="M34" s="437"/>
      <c r="N34" s="437"/>
      <c r="O34" s="437"/>
      <c r="P34" s="437"/>
      <c r="Q34" s="437"/>
      <c r="R34" s="646"/>
      <c r="S34" s="646"/>
      <c r="T34" s="646"/>
      <c r="U34" s="646"/>
      <c r="V34" s="646"/>
      <c r="W34" s="646"/>
      <c r="X34" s="23"/>
      <c r="Y34" s="22">
        <f t="shared" si="4"/>
        <v>0</v>
      </c>
    </row>
    <row r="35" spans="1:25" ht="20.100000000000001" customHeight="1">
      <c r="A35" s="51" t="str">
        <f ca="1">INDIRECT("Datos!B"&amp;MATCH("RUBRO ITEM",Datos!B:B,0)+ROW()-MATCH("RUBRO ITEM",A:A,0)-1)</f>
        <v>4.1.2</v>
      </c>
      <c r="B35" s="29" t="str">
        <f t="shared" ca="1" si="2"/>
        <v>Motorizacion/Electrificacion desarenador</v>
      </c>
      <c r="C35" s="30"/>
      <c r="D35" s="13">
        <f t="shared" ca="1" si="3"/>
        <v>0</v>
      </c>
      <c r="E35" s="41"/>
      <c r="F35" s="437"/>
      <c r="G35" s="437"/>
      <c r="H35" s="437"/>
      <c r="I35" s="437"/>
      <c r="J35" s="437"/>
      <c r="K35" s="437"/>
      <c r="L35" s="437"/>
      <c r="M35" s="437"/>
      <c r="N35" s="437"/>
      <c r="O35" s="437"/>
      <c r="P35" s="437"/>
      <c r="Q35" s="437"/>
      <c r="R35" s="646"/>
      <c r="S35" s="646"/>
      <c r="T35" s="646"/>
      <c r="U35" s="646"/>
      <c r="V35" s="646"/>
      <c r="W35" s="646"/>
      <c r="X35" s="23"/>
      <c r="Y35" s="22">
        <f t="shared" si="4"/>
        <v>0</v>
      </c>
    </row>
    <row r="36" spans="1:25" ht="20.100000000000001" customHeight="1">
      <c r="A36" s="51">
        <f ca="1">INDIRECT("Datos!B"&amp;MATCH("RUBRO ITEM",Datos!B:B,0)+ROW()-MATCH("RUBRO ITEM",A:A,0)-1)</f>
        <v>5</v>
      </c>
      <c r="B36" s="29" t="str">
        <f t="shared" ca="1" si="2"/>
        <v>CANAL MATRIZ</v>
      </c>
      <c r="C36" s="30"/>
      <c r="D36" s="13">
        <f t="shared" ca="1" si="3"/>
        <v>0</v>
      </c>
      <c r="E36" s="41"/>
      <c r="F36" s="437"/>
      <c r="G36" s="437"/>
      <c r="H36" s="437"/>
      <c r="I36" s="437"/>
      <c r="J36" s="437"/>
      <c r="K36" s="437"/>
      <c r="L36" s="437"/>
      <c r="M36" s="437"/>
      <c r="N36" s="437"/>
      <c r="O36" s="437"/>
      <c r="P36" s="437"/>
      <c r="Q36" s="437"/>
      <c r="R36" s="646"/>
      <c r="S36" s="646"/>
      <c r="T36" s="646"/>
      <c r="U36" s="646"/>
      <c r="V36" s="646"/>
      <c r="W36" s="646"/>
      <c r="X36" s="23"/>
      <c r="Y36" s="22">
        <f t="shared" si="4"/>
        <v>0</v>
      </c>
    </row>
    <row r="37" spans="1:25" ht="20.100000000000001" customHeight="1">
      <c r="A37" s="51" t="str">
        <f ca="1">INDIRECT("Datos!B"&amp;MATCH("RUBRO ITEM",Datos!B:B,0)+ROW()-MATCH("RUBRO ITEM",A:A,0)-1)</f>
        <v>5.1</v>
      </c>
      <c r="B37" s="29" t="str">
        <f t="shared" ca="1" si="2"/>
        <v>Tramo Inicial - Encamisado total</v>
      </c>
      <c r="C37" s="30"/>
      <c r="D37" s="13">
        <f t="shared" ca="1" si="3"/>
        <v>0</v>
      </c>
      <c r="E37" s="41"/>
      <c r="F37" s="437"/>
      <c r="G37" s="437"/>
      <c r="H37" s="437"/>
      <c r="I37" s="437"/>
      <c r="J37" s="437"/>
      <c r="K37" s="437"/>
      <c r="L37" s="437"/>
      <c r="M37" s="437"/>
      <c r="N37" s="437"/>
      <c r="O37" s="437"/>
      <c r="P37" s="437"/>
      <c r="Q37" s="437"/>
      <c r="R37" s="646"/>
      <c r="S37" s="646"/>
      <c r="T37" s="646"/>
      <c r="U37" s="646"/>
      <c r="V37" s="646"/>
      <c r="W37" s="646"/>
      <c r="X37" s="23"/>
      <c r="Y37" s="22">
        <f t="shared" si="4"/>
        <v>0</v>
      </c>
    </row>
    <row r="38" spans="1:25" ht="20.100000000000001" customHeight="1">
      <c r="A38" s="51" t="str">
        <f ca="1">INDIRECT("Datos!B"&amp;MATCH("RUBRO ITEM",Datos!B:B,0)+ROW()-MATCH("RUBRO ITEM",A:A,0)-1)</f>
        <v>5.1.1</v>
      </c>
      <c r="B38" s="29" t="str">
        <f t="shared" ca="1" si="2"/>
        <v>Limpieza camino de servicio</v>
      </c>
      <c r="C38" s="30"/>
      <c r="D38" s="13">
        <f t="shared" ca="1" si="3"/>
        <v>0</v>
      </c>
      <c r="E38" s="41"/>
      <c r="F38" s="437"/>
      <c r="G38" s="437"/>
      <c r="H38" s="437"/>
      <c r="I38" s="437"/>
      <c r="J38" s="437"/>
      <c r="K38" s="437"/>
      <c r="L38" s="437"/>
      <c r="M38" s="437"/>
      <c r="N38" s="437"/>
      <c r="O38" s="437"/>
      <c r="P38" s="437"/>
      <c r="Q38" s="437"/>
      <c r="R38" s="646"/>
      <c r="S38" s="646"/>
      <c r="T38" s="646"/>
      <c r="U38" s="646"/>
      <c r="V38" s="646"/>
      <c r="W38" s="646"/>
      <c r="X38" s="23"/>
      <c r="Y38" s="22">
        <f t="shared" si="4"/>
        <v>0</v>
      </c>
    </row>
    <row r="39" spans="1:25" ht="20.100000000000001" customHeight="1">
      <c r="A39" s="51" t="str">
        <f ca="1">INDIRECT("Datos!B"&amp;MATCH("RUBRO ITEM",Datos!B:B,0)+ROW()-MATCH("RUBRO ITEM",A:A,0)-1)</f>
        <v>5.1.2</v>
      </c>
      <c r="B39" s="29" t="str">
        <f t="shared" ca="1" si="2"/>
        <v>Limpieza y preparación del terreno</v>
      </c>
      <c r="C39" s="30"/>
      <c r="D39" s="13">
        <f t="shared" ca="1" si="3"/>
        <v>0</v>
      </c>
      <c r="E39" s="41"/>
      <c r="F39" s="437"/>
      <c r="G39" s="437"/>
      <c r="H39" s="437"/>
      <c r="I39" s="437"/>
      <c r="J39" s="437"/>
      <c r="K39" s="437"/>
      <c r="L39" s="437"/>
      <c r="M39" s="437"/>
      <c r="N39" s="437"/>
      <c r="O39" s="437"/>
      <c r="P39" s="437"/>
      <c r="Q39" s="437"/>
      <c r="R39" s="646"/>
      <c r="S39" s="646"/>
      <c r="T39" s="646"/>
      <c r="U39" s="646"/>
      <c r="V39" s="646"/>
      <c r="W39" s="646"/>
      <c r="X39" s="23"/>
      <c r="Y39" s="22">
        <f t="shared" si="4"/>
        <v>0</v>
      </c>
    </row>
    <row r="40" spans="1:25" ht="20.100000000000001" customHeight="1">
      <c r="A40" s="51" t="str">
        <f ca="1">INDIRECT("Datos!B"&amp;MATCH("RUBRO ITEM",Datos!B:B,0)+ROW()-MATCH("RUBRO ITEM",A:A,0)-1)</f>
        <v>5.1.3</v>
      </c>
      <c r="B40" s="29" t="str">
        <f t="shared" ref="B40:B71" ca="1" si="5">IFERROR(VLOOKUP(A40,T_Computo_Presupuesto,2,FALSE),"")</f>
        <v>Excavación</v>
      </c>
      <c r="C40" s="30"/>
      <c r="D40" s="13">
        <f t="shared" ref="D40:D71" ca="1" si="6">IFERROR(VLOOKUP(A40,T_Computo_Presupuesto,9,FALSE),0)</f>
        <v>0</v>
      </c>
      <c r="E40" s="41"/>
      <c r="F40" s="437"/>
      <c r="G40" s="437"/>
      <c r="H40" s="437"/>
      <c r="I40" s="437"/>
      <c r="J40" s="437"/>
      <c r="K40" s="437"/>
      <c r="L40" s="437"/>
      <c r="M40" s="437"/>
      <c r="N40" s="437"/>
      <c r="O40" s="437"/>
      <c r="P40" s="437"/>
      <c r="Q40" s="437"/>
      <c r="R40" s="646"/>
      <c r="S40" s="646"/>
      <c r="T40" s="646"/>
      <c r="U40" s="646"/>
      <c r="V40" s="646"/>
      <c r="W40" s="646"/>
      <c r="X40" s="23"/>
      <c r="Y40" s="22">
        <f t="shared" si="4"/>
        <v>0</v>
      </c>
    </row>
    <row r="41" spans="1:25" ht="20.100000000000001" customHeight="1">
      <c r="A41" s="51" t="str">
        <f ca="1">INDIRECT("Datos!B"&amp;MATCH("RUBRO ITEM",Datos!B:B,0)+ROW()-MATCH("RUBRO ITEM",A:A,0)-1)</f>
        <v>5.1.4</v>
      </c>
      <c r="B41" s="29" t="str">
        <f t="shared" ca="1" si="5"/>
        <v>Relleno y compactación</v>
      </c>
      <c r="C41" s="30"/>
      <c r="D41" s="13">
        <f t="shared" ca="1" si="6"/>
        <v>0</v>
      </c>
      <c r="E41" s="41"/>
      <c r="F41" s="437"/>
      <c r="G41" s="437"/>
      <c r="H41" s="437"/>
      <c r="I41" s="437"/>
      <c r="J41" s="437"/>
      <c r="K41" s="437"/>
      <c r="L41" s="437"/>
      <c r="M41" s="437"/>
      <c r="N41" s="437"/>
      <c r="O41" s="437"/>
      <c r="P41" s="437"/>
      <c r="Q41" s="437"/>
      <c r="R41" s="646"/>
      <c r="S41" s="646"/>
      <c r="T41" s="646"/>
      <c r="U41" s="646"/>
      <c r="V41" s="646"/>
      <c r="W41" s="646"/>
      <c r="X41" s="23"/>
      <c r="Y41" s="22">
        <f t="shared" si="4"/>
        <v>0</v>
      </c>
    </row>
    <row r="42" spans="1:25" ht="20.100000000000001" customHeight="1">
      <c r="A42" s="51" t="str">
        <f ca="1">INDIRECT("Datos!B"&amp;MATCH("RUBRO ITEM",Datos!B:B,0)+ROW()-MATCH("RUBRO ITEM",A:A,0)-1)</f>
        <v>5.1.5</v>
      </c>
      <c r="B42" s="29" t="str">
        <f t="shared" ca="1" si="5"/>
        <v>Hormigón H20</v>
      </c>
      <c r="C42" s="30"/>
      <c r="D42" s="13">
        <f t="shared" ca="1" si="6"/>
        <v>0</v>
      </c>
      <c r="E42" s="41"/>
      <c r="F42" s="437"/>
      <c r="G42" s="437"/>
      <c r="H42" s="437"/>
      <c r="I42" s="437"/>
      <c r="J42" s="437"/>
      <c r="K42" s="437"/>
      <c r="L42" s="437"/>
      <c r="M42" s="437"/>
      <c r="N42" s="437"/>
      <c r="O42" s="437"/>
      <c r="P42" s="437"/>
      <c r="Q42" s="437"/>
      <c r="R42" s="646"/>
      <c r="S42" s="646"/>
      <c r="T42" s="646"/>
      <c r="U42" s="646"/>
      <c r="V42" s="646"/>
      <c r="W42" s="646"/>
      <c r="X42" s="23"/>
      <c r="Y42" s="22">
        <f t="shared" si="4"/>
        <v>0</v>
      </c>
    </row>
    <row r="43" spans="1:25" ht="20.100000000000001" customHeight="1">
      <c r="A43" s="51" t="str">
        <f ca="1">INDIRECT("Datos!B"&amp;MATCH("RUBRO ITEM",Datos!B:B,0)+ROW()-MATCH("RUBRO ITEM",A:A,0)-1)</f>
        <v>5.1.6</v>
      </c>
      <c r="B43" s="29" t="str">
        <f t="shared" ca="1" si="5"/>
        <v>Malla de acero</v>
      </c>
      <c r="C43" s="30"/>
      <c r="D43" s="13">
        <f t="shared" ca="1" si="6"/>
        <v>0</v>
      </c>
      <c r="E43" s="41"/>
      <c r="F43" s="437"/>
      <c r="G43" s="437"/>
      <c r="H43" s="437"/>
      <c r="I43" s="437"/>
      <c r="J43" s="437"/>
      <c r="K43" s="437"/>
      <c r="L43" s="437"/>
      <c r="M43" s="437"/>
      <c r="N43" s="437"/>
      <c r="O43" s="437"/>
      <c r="P43" s="437"/>
      <c r="Q43" s="437"/>
      <c r="R43" s="646"/>
      <c r="S43" s="646"/>
      <c r="T43" s="646"/>
      <c r="U43" s="646"/>
      <c r="V43" s="646"/>
      <c r="W43" s="646"/>
      <c r="X43" s="23"/>
      <c r="Y43" s="22">
        <f t="shared" si="4"/>
        <v>0</v>
      </c>
    </row>
    <row r="44" spans="1:25" ht="20.100000000000001" customHeight="1">
      <c r="A44" s="51" t="str">
        <f ca="1">INDIRECT("Datos!B"&amp;MATCH("RUBRO ITEM",Datos!B:B,0)+ROW()-MATCH("RUBRO ITEM",A:A,0)-1)</f>
        <v>5.1.7</v>
      </c>
      <c r="B44" s="29" t="str">
        <f t="shared" ca="1" si="5"/>
        <v>Hormigón armado H20</v>
      </c>
      <c r="C44" s="30"/>
      <c r="D44" s="13">
        <f t="shared" ca="1" si="6"/>
        <v>0</v>
      </c>
      <c r="E44" s="41"/>
      <c r="F44" s="437"/>
      <c r="G44" s="437"/>
      <c r="H44" s="437"/>
      <c r="I44" s="437"/>
      <c r="J44" s="437"/>
      <c r="K44" s="437"/>
      <c r="L44" s="437"/>
      <c r="M44" s="437"/>
      <c r="N44" s="437"/>
      <c r="O44" s="437"/>
      <c r="P44" s="437"/>
      <c r="Q44" s="437"/>
      <c r="R44" s="646"/>
      <c r="S44" s="646"/>
      <c r="T44" s="646"/>
      <c r="U44" s="646"/>
      <c r="V44" s="646"/>
      <c r="W44" s="646"/>
      <c r="X44" s="23"/>
      <c r="Y44" s="22">
        <f t="shared" si="4"/>
        <v>0</v>
      </c>
    </row>
    <row r="45" spans="1:25" ht="20.100000000000001" customHeight="1">
      <c r="A45" s="51" t="str">
        <f ca="1">INDIRECT("Datos!B"&amp;MATCH("RUBRO ITEM",Datos!B:B,0)+ROW()-MATCH("RUBRO ITEM",A:A,0)-1)</f>
        <v>5.2</v>
      </c>
      <c r="B45" s="29" t="str">
        <f t="shared" ca="1" si="5"/>
        <v>Tramo Final - Reconstruccion total</v>
      </c>
      <c r="C45" s="30"/>
      <c r="D45" s="13">
        <f t="shared" ca="1" si="6"/>
        <v>0</v>
      </c>
      <c r="E45" s="41"/>
      <c r="F45" s="437"/>
      <c r="G45" s="437"/>
      <c r="H45" s="437"/>
      <c r="I45" s="437"/>
      <c r="J45" s="437"/>
      <c r="K45" s="437"/>
      <c r="L45" s="437"/>
      <c r="M45" s="437"/>
      <c r="N45" s="437"/>
      <c r="O45" s="437"/>
      <c r="P45" s="437"/>
      <c r="Q45" s="437"/>
      <c r="R45" s="646"/>
      <c r="S45" s="646"/>
      <c r="T45" s="646"/>
      <c r="U45" s="646"/>
      <c r="V45" s="646"/>
      <c r="W45" s="646"/>
      <c r="X45" s="23"/>
      <c r="Y45" s="22">
        <f t="shared" si="4"/>
        <v>0</v>
      </c>
    </row>
    <row r="46" spans="1:25" ht="20.100000000000001" customHeight="1">
      <c r="A46" s="51" t="str">
        <f ca="1">INDIRECT("Datos!B"&amp;MATCH("RUBRO ITEM",Datos!B:B,0)+ROW()-MATCH("RUBRO ITEM",A:A,0)-1)</f>
        <v>5.2.1</v>
      </c>
      <c r="B46" s="29" t="str">
        <f t="shared" ca="1" si="5"/>
        <v>Rehabilitacion camino de servicio</v>
      </c>
      <c r="C46" s="30"/>
      <c r="D46" s="13">
        <f t="shared" ca="1" si="6"/>
        <v>0</v>
      </c>
      <c r="E46" s="41"/>
      <c r="F46" s="437"/>
      <c r="G46" s="437"/>
      <c r="H46" s="437"/>
      <c r="I46" s="437"/>
      <c r="J46" s="437"/>
      <c r="K46" s="437"/>
      <c r="L46" s="437"/>
      <c r="M46" s="437"/>
      <c r="N46" s="437"/>
      <c r="O46" s="437"/>
      <c r="P46" s="437"/>
      <c r="Q46" s="437"/>
      <c r="R46" s="646"/>
      <c r="S46" s="646"/>
      <c r="T46" s="646"/>
      <c r="U46" s="646"/>
      <c r="V46" s="646"/>
      <c r="W46" s="646"/>
      <c r="X46" s="23"/>
      <c r="Y46" s="22">
        <f t="shared" si="4"/>
        <v>0</v>
      </c>
    </row>
    <row r="47" spans="1:25" ht="20.100000000000001" customHeight="1">
      <c r="A47" s="51" t="str">
        <f ca="1">INDIRECT("Datos!B"&amp;MATCH("RUBRO ITEM",Datos!B:B,0)+ROW()-MATCH("RUBRO ITEM",A:A,0)-1)</f>
        <v>5.2.2</v>
      </c>
      <c r="B47" s="29" t="str">
        <f t="shared" ca="1" si="5"/>
        <v>Limpieza y preparación del terreno</v>
      </c>
      <c r="C47" s="30"/>
      <c r="D47" s="13">
        <f t="shared" ca="1" si="6"/>
        <v>0</v>
      </c>
      <c r="E47" s="41"/>
      <c r="F47" s="437"/>
      <c r="G47" s="437"/>
      <c r="H47" s="437"/>
      <c r="I47" s="437"/>
      <c r="J47" s="437"/>
      <c r="K47" s="437"/>
      <c r="L47" s="437"/>
      <c r="M47" s="437"/>
      <c r="N47" s="437"/>
      <c r="O47" s="437"/>
      <c r="P47" s="437"/>
      <c r="Q47" s="437"/>
      <c r="R47" s="646"/>
      <c r="S47" s="646"/>
      <c r="T47" s="646"/>
      <c r="U47" s="646"/>
      <c r="V47" s="646"/>
      <c r="W47" s="646"/>
      <c r="X47" s="23"/>
      <c r="Y47" s="22">
        <f t="shared" si="4"/>
        <v>0</v>
      </c>
    </row>
    <row r="48" spans="1:25" ht="20.100000000000001" customHeight="1">
      <c r="A48" s="51" t="str">
        <f ca="1">INDIRECT("Datos!B"&amp;MATCH("RUBRO ITEM",Datos!B:B,0)+ROW()-MATCH("RUBRO ITEM",A:A,0)-1)</f>
        <v>5.2.3</v>
      </c>
      <c r="B48" s="29" t="str">
        <f t="shared" ca="1" si="5"/>
        <v>Demoliciones</v>
      </c>
      <c r="C48" s="30"/>
      <c r="D48" s="13">
        <f t="shared" ca="1" si="6"/>
        <v>0</v>
      </c>
      <c r="E48" s="41"/>
      <c r="F48" s="437"/>
      <c r="G48" s="437"/>
      <c r="H48" s="437"/>
      <c r="I48" s="437"/>
      <c r="J48" s="437"/>
      <c r="K48" s="437"/>
      <c r="L48" s="437"/>
      <c r="M48" s="437"/>
      <c r="N48" s="437"/>
      <c r="O48" s="437"/>
      <c r="P48" s="437"/>
      <c r="Q48" s="437"/>
      <c r="R48" s="646"/>
      <c r="S48" s="646"/>
      <c r="T48" s="646"/>
      <c r="U48" s="646"/>
      <c r="V48" s="646"/>
      <c r="W48" s="646"/>
      <c r="X48" s="23"/>
      <c r="Y48" s="22">
        <f t="shared" si="4"/>
        <v>0</v>
      </c>
    </row>
    <row r="49" spans="1:25" ht="20.100000000000001" customHeight="1">
      <c r="A49" s="51" t="str">
        <f ca="1">INDIRECT("Datos!B"&amp;MATCH("RUBRO ITEM",Datos!B:B,0)+ROW()-MATCH("RUBRO ITEM",A:A,0)-1)</f>
        <v>5.2.4</v>
      </c>
      <c r="B49" s="29" t="str">
        <f t="shared" ca="1" si="5"/>
        <v>Excavacion</v>
      </c>
      <c r="C49" s="30"/>
      <c r="D49" s="13">
        <f t="shared" ca="1" si="6"/>
        <v>0</v>
      </c>
      <c r="E49" s="41"/>
      <c r="F49" s="437"/>
      <c r="G49" s="437"/>
      <c r="H49" s="437"/>
      <c r="I49" s="437"/>
      <c r="J49" s="437"/>
      <c r="K49" s="437"/>
      <c r="L49" s="437"/>
      <c r="M49" s="437"/>
      <c r="N49" s="437"/>
      <c r="O49" s="437"/>
      <c r="P49" s="437"/>
      <c r="Q49" s="437"/>
      <c r="R49" s="646"/>
      <c r="S49" s="646"/>
      <c r="T49" s="646"/>
      <c r="U49" s="646"/>
      <c r="V49" s="646"/>
      <c r="W49" s="646"/>
      <c r="X49" s="23"/>
      <c r="Y49" s="22">
        <f t="shared" si="4"/>
        <v>0</v>
      </c>
    </row>
    <row r="50" spans="1:25" ht="20.100000000000001" customHeight="1">
      <c r="A50" s="51" t="str">
        <f ca="1">INDIRECT("Datos!B"&amp;MATCH("RUBRO ITEM",Datos!B:B,0)+ROW()-MATCH("RUBRO ITEM",A:A,0)-1)</f>
        <v>5.2.5</v>
      </c>
      <c r="B50" s="29" t="str">
        <f t="shared" ca="1" si="5"/>
        <v>Relleno y compactación</v>
      </c>
      <c r="C50" s="30"/>
      <c r="D50" s="13">
        <f t="shared" ca="1" si="6"/>
        <v>0</v>
      </c>
      <c r="E50" s="41"/>
      <c r="F50" s="437"/>
      <c r="G50" s="437"/>
      <c r="H50" s="437"/>
      <c r="I50" s="437"/>
      <c r="J50" s="437"/>
      <c r="K50" s="437"/>
      <c r="L50" s="437"/>
      <c r="M50" s="437"/>
      <c r="N50" s="437"/>
      <c r="O50" s="437"/>
      <c r="P50" s="437"/>
      <c r="Q50" s="437"/>
      <c r="R50" s="646"/>
      <c r="S50" s="646"/>
      <c r="T50" s="646"/>
      <c r="U50" s="646"/>
      <c r="V50" s="646"/>
      <c r="W50" s="646"/>
      <c r="X50" s="23"/>
      <c r="Y50" s="22">
        <f t="shared" si="4"/>
        <v>0</v>
      </c>
    </row>
    <row r="51" spans="1:25" ht="20.100000000000001" customHeight="1">
      <c r="A51" s="51" t="str">
        <f ca="1">INDIRECT("Datos!B"&amp;MATCH("RUBRO ITEM",Datos!B:B,0)+ROW()-MATCH("RUBRO ITEM",A:A,0)-1)</f>
        <v>5.2.6</v>
      </c>
      <c r="B51" s="29" t="str">
        <f t="shared" ca="1" si="5"/>
        <v>Geotextil</v>
      </c>
      <c r="C51" s="30"/>
      <c r="D51" s="13">
        <f t="shared" ca="1" si="6"/>
        <v>0</v>
      </c>
      <c r="E51" s="41"/>
      <c r="F51" s="437"/>
      <c r="G51" s="437"/>
      <c r="H51" s="437"/>
      <c r="I51" s="437"/>
      <c r="J51" s="437"/>
      <c r="K51" s="437"/>
      <c r="L51" s="437"/>
      <c r="M51" s="437"/>
      <c r="N51" s="437"/>
      <c r="O51" s="437"/>
      <c r="P51" s="437"/>
      <c r="Q51" s="437"/>
      <c r="R51" s="646"/>
      <c r="S51" s="646"/>
      <c r="T51" s="646"/>
      <c r="U51" s="646"/>
      <c r="V51" s="646"/>
      <c r="W51" s="646"/>
      <c r="X51" s="23"/>
      <c r="Y51" s="22">
        <f t="shared" si="4"/>
        <v>0</v>
      </c>
    </row>
    <row r="52" spans="1:25" ht="20.100000000000001" customHeight="1">
      <c r="A52" s="51" t="str">
        <f ca="1">INDIRECT("Datos!B"&amp;MATCH("RUBRO ITEM",Datos!B:B,0)+ROW()-MATCH("RUBRO ITEM",A:A,0)-1)</f>
        <v>5.2.7</v>
      </c>
      <c r="B52" s="29" t="str">
        <f t="shared" ca="1" si="5"/>
        <v>Grava de asiento</v>
      </c>
      <c r="C52" s="30"/>
      <c r="D52" s="13">
        <f t="shared" ca="1" si="6"/>
        <v>0</v>
      </c>
      <c r="E52" s="41"/>
      <c r="F52" s="437"/>
      <c r="G52" s="437"/>
      <c r="H52" s="437"/>
      <c r="I52" s="437"/>
      <c r="J52" s="437"/>
      <c r="K52" s="437"/>
      <c r="L52" s="437"/>
      <c r="M52" s="437"/>
      <c r="N52" s="437"/>
      <c r="O52" s="437"/>
      <c r="P52" s="437"/>
      <c r="Q52" s="437"/>
      <c r="R52" s="646"/>
      <c r="S52" s="646"/>
      <c r="T52" s="646"/>
      <c r="U52" s="646"/>
      <c r="V52" s="646"/>
      <c r="W52" s="646"/>
      <c r="X52" s="23"/>
      <c r="Y52" s="22">
        <f t="shared" si="4"/>
        <v>0</v>
      </c>
    </row>
    <row r="53" spans="1:25" ht="20.100000000000001" customHeight="1">
      <c r="A53" s="51" t="str">
        <f ca="1">INDIRECT("Datos!B"&amp;MATCH("RUBRO ITEM",Datos!B:B,0)+ROW()-MATCH("RUBRO ITEM",A:A,0)-1)</f>
        <v>5.2.8</v>
      </c>
      <c r="B53" s="29" t="str">
        <f t="shared" ca="1" si="5"/>
        <v>Hormigón de limpieza</v>
      </c>
      <c r="C53" s="30"/>
      <c r="D53" s="13">
        <f t="shared" ca="1" si="6"/>
        <v>0</v>
      </c>
      <c r="E53" s="41"/>
      <c r="F53" s="437"/>
      <c r="G53" s="437"/>
      <c r="H53" s="437"/>
      <c r="I53" s="437"/>
      <c r="J53" s="437"/>
      <c r="K53" s="437"/>
      <c r="L53" s="437"/>
      <c r="M53" s="437"/>
      <c r="N53" s="437"/>
      <c r="O53" s="437"/>
      <c r="P53" s="437"/>
      <c r="Q53" s="437"/>
      <c r="R53" s="646"/>
      <c r="S53" s="646"/>
      <c r="T53" s="646"/>
      <c r="U53" s="646"/>
      <c r="V53" s="646"/>
      <c r="W53" s="646"/>
      <c r="X53" s="23"/>
      <c r="Y53" s="22">
        <f t="shared" si="4"/>
        <v>0</v>
      </c>
    </row>
    <row r="54" spans="1:25" ht="20.100000000000001" customHeight="1">
      <c r="A54" s="51" t="str">
        <f ca="1">INDIRECT("Datos!B"&amp;MATCH("RUBRO ITEM",Datos!B:B,0)+ROW()-MATCH("RUBRO ITEM",A:A,0)-1)</f>
        <v>5.2.9</v>
      </c>
      <c r="B54" s="29" t="str">
        <f t="shared" ca="1" si="5"/>
        <v>Hormigón armado H20</v>
      </c>
      <c r="C54" s="30"/>
      <c r="D54" s="13">
        <f t="shared" ca="1" si="6"/>
        <v>0</v>
      </c>
      <c r="E54" s="41"/>
      <c r="F54" s="437"/>
      <c r="G54" s="437"/>
      <c r="H54" s="437"/>
      <c r="I54" s="437"/>
      <c r="J54" s="437"/>
      <c r="K54" s="437"/>
      <c r="L54" s="437"/>
      <c r="M54" s="437"/>
      <c r="N54" s="437"/>
      <c r="O54" s="437"/>
      <c r="P54" s="437"/>
      <c r="Q54" s="437"/>
      <c r="R54" s="646"/>
      <c r="S54" s="646"/>
      <c r="T54" s="646"/>
      <c r="U54" s="646"/>
      <c r="V54" s="646"/>
      <c r="W54" s="646"/>
      <c r="X54" s="23"/>
      <c r="Y54" s="22">
        <f t="shared" si="4"/>
        <v>0</v>
      </c>
    </row>
    <row r="55" spans="1:25" ht="20.100000000000001" customHeight="1">
      <c r="A55" s="51" t="str">
        <f ca="1">INDIRECT("Datos!B"&amp;MATCH("RUBRO ITEM",Datos!B:B,0)+ROW()-MATCH("RUBRO ITEM",A:A,0)-1)</f>
        <v>5.2.10</v>
      </c>
      <c r="B55" s="29" t="str">
        <f t="shared" ca="1" si="5"/>
        <v>Reemplazo de compuertas</v>
      </c>
      <c r="C55" s="30"/>
      <c r="D55" s="13">
        <f t="shared" ca="1" si="6"/>
        <v>0</v>
      </c>
      <c r="E55" s="41"/>
      <c r="F55" s="437"/>
      <c r="G55" s="437"/>
      <c r="H55" s="437"/>
      <c r="I55" s="437"/>
      <c r="J55" s="437"/>
      <c r="K55" s="437"/>
      <c r="L55" s="437"/>
      <c r="M55" s="437"/>
      <c r="N55" s="437"/>
      <c r="O55" s="437"/>
      <c r="P55" s="437"/>
      <c r="Q55" s="437"/>
      <c r="R55" s="646"/>
      <c r="S55" s="646"/>
      <c r="T55" s="646"/>
      <c r="U55" s="646"/>
      <c r="V55" s="646"/>
      <c r="W55" s="646"/>
      <c r="X55" s="23"/>
      <c r="Y55" s="22">
        <f t="shared" ref="Y55:Y79" si="7">SUM(F55:Q55)</f>
        <v>0</v>
      </c>
    </row>
    <row r="56" spans="1:25" ht="20.100000000000001" customHeight="1">
      <c r="A56" s="51" t="str">
        <f ca="1">INDIRECT("Datos!B"&amp;MATCH("RUBRO ITEM",Datos!B:B,0)+ROW()-MATCH("RUBRO ITEM",A:A,0)-1)</f>
        <v>5.2.11</v>
      </c>
      <c r="B56" s="29" t="str">
        <f t="shared" ca="1" si="5"/>
        <v>Readecuacion comparto de derivacion</v>
      </c>
      <c r="C56" s="30"/>
      <c r="D56" s="13">
        <f t="shared" ca="1" si="6"/>
        <v>0</v>
      </c>
      <c r="E56" s="41"/>
      <c r="F56" s="437"/>
      <c r="G56" s="437"/>
      <c r="H56" s="437"/>
      <c r="I56" s="437"/>
      <c r="J56" s="437"/>
      <c r="K56" s="437"/>
      <c r="L56" s="437"/>
      <c r="M56" s="437"/>
      <c r="N56" s="437"/>
      <c r="O56" s="437"/>
      <c r="P56" s="437"/>
      <c r="Q56" s="437"/>
      <c r="R56" s="646"/>
      <c r="S56" s="646"/>
      <c r="T56" s="646"/>
      <c r="U56" s="646"/>
      <c r="V56" s="646"/>
      <c r="W56" s="646"/>
      <c r="X56" s="23"/>
      <c r="Y56" s="22">
        <f t="shared" si="7"/>
        <v>0</v>
      </c>
    </row>
    <row r="57" spans="1:25" ht="20.100000000000001" customHeight="1">
      <c r="A57" s="51">
        <f ca="1">INDIRECT("Datos!B"&amp;MATCH("RUBRO ITEM",Datos!B:B,0)+ROW()-MATCH("RUBRO ITEM",A:A,0)-1)</f>
        <v>6</v>
      </c>
      <c r="B57" s="29" t="str">
        <f t="shared" ca="1" si="5"/>
        <v>CANAL DEL NORTE</v>
      </c>
      <c r="C57" s="30"/>
      <c r="D57" s="13">
        <f t="shared" ca="1" si="6"/>
        <v>0</v>
      </c>
      <c r="E57" s="41"/>
      <c r="F57" s="437"/>
      <c r="G57" s="437"/>
      <c r="H57" s="437"/>
      <c r="I57" s="437"/>
      <c r="J57" s="437"/>
      <c r="K57" s="437"/>
      <c r="L57" s="437"/>
      <c r="M57" s="437"/>
      <c r="N57" s="437"/>
      <c r="O57" s="437"/>
      <c r="P57" s="437"/>
      <c r="Q57" s="437"/>
      <c r="R57" s="646"/>
      <c r="S57" s="646"/>
      <c r="T57" s="646"/>
      <c r="U57" s="646"/>
      <c r="V57" s="646"/>
      <c r="W57" s="646"/>
      <c r="X57" s="23"/>
      <c r="Y57" s="22">
        <f t="shared" si="7"/>
        <v>0</v>
      </c>
    </row>
    <row r="58" spans="1:25" ht="20.100000000000001" customHeight="1">
      <c r="A58" s="51" t="str">
        <f ca="1">INDIRECT("Datos!B"&amp;MATCH("RUBRO ITEM",Datos!B:B,0)+ROW()-MATCH("RUBRO ITEM",A:A,0)-1)</f>
        <v>6.1</v>
      </c>
      <c r="B58" s="29" t="str">
        <f t="shared" ca="1" si="5"/>
        <v>Encamisado Total</v>
      </c>
      <c r="C58" s="30"/>
      <c r="D58" s="13">
        <f t="shared" ca="1" si="6"/>
        <v>0</v>
      </c>
      <c r="E58" s="41"/>
      <c r="F58" s="437"/>
      <c r="G58" s="437"/>
      <c r="H58" s="437"/>
      <c r="I58" s="437"/>
      <c r="J58" s="437"/>
      <c r="K58" s="437"/>
      <c r="L58" s="437"/>
      <c r="M58" s="437"/>
      <c r="N58" s="437"/>
      <c r="O58" s="437"/>
      <c r="P58" s="437"/>
      <c r="Q58" s="437"/>
      <c r="R58" s="646"/>
      <c r="S58" s="646"/>
      <c r="T58" s="646"/>
      <c r="U58" s="646"/>
      <c r="V58" s="646"/>
      <c r="W58" s="646"/>
      <c r="X58" s="23"/>
      <c r="Y58" s="22">
        <f t="shared" si="7"/>
        <v>0</v>
      </c>
    </row>
    <row r="59" spans="1:25" ht="20.100000000000001" customHeight="1">
      <c r="A59" s="51" t="str">
        <f ca="1">INDIRECT("Datos!B"&amp;MATCH("RUBRO ITEM",Datos!B:B,0)+ROW()-MATCH("RUBRO ITEM",A:A,0)-1)</f>
        <v>6.1.1</v>
      </c>
      <c r="B59" s="29" t="str">
        <f t="shared" ca="1" si="5"/>
        <v>Rehabilitación camino de servicio</v>
      </c>
      <c r="C59" s="30"/>
      <c r="D59" s="13">
        <f t="shared" ca="1" si="6"/>
        <v>0</v>
      </c>
      <c r="E59" s="41"/>
      <c r="F59" s="437"/>
      <c r="G59" s="437"/>
      <c r="H59" s="437"/>
      <c r="I59" s="437"/>
      <c r="J59" s="437"/>
      <c r="K59" s="437"/>
      <c r="L59" s="437"/>
      <c r="M59" s="437"/>
      <c r="N59" s="437"/>
      <c r="O59" s="437"/>
      <c r="P59" s="437"/>
      <c r="Q59" s="437"/>
      <c r="R59" s="646"/>
      <c r="S59" s="646"/>
      <c r="T59" s="646"/>
      <c r="U59" s="646"/>
      <c r="V59" s="646"/>
      <c r="W59" s="646"/>
      <c r="X59" s="23"/>
      <c r="Y59" s="22">
        <f t="shared" si="7"/>
        <v>0</v>
      </c>
    </row>
    <row r="60" spans="1:25" ht="20.100000000000001" customHeight="1">
      <c r="A60" s="51" t="str">
        <f ca="1">INDIRECT("Datos!B"&amp;MATCH("RUBRO ITEM",Datos!B:B,0)+ROW()-MATCH("RUBRO ITEM",A:A,0)-1)</f>
        <v>6.1.2</v>
      </c>
      <c r="B60" s="29" t="str">
        <f t="shared" ca="1" si="5"/>
        <v>Limpieza y preparación del terreno</v>
      </c>
      <c r="C60" s="30"/>
      <c r="D60" s="13">
        <f t="shared" ca="1" si="6"/>
        <v>0</v>
      </c>
      <c r="E60" s="41"/>
      <c r="F60" s="437"/>
      <c r="G60" s="437"/>
      <c r="H60" s="437"/>
      <c r="I60" s="437"/>
      <c r="J60" s="437"/>
      <c r="K60" s="437"/>
      <c r="L60" s="437"/>
      <c r="M60" s="437"/>
      <c r="N60" s="437"/>
      <c r="O60" s="437"/>
      <c r="P60" s="437"/>
      <c r="Q60" s="437"/>
      <c r="R60" s="646"/>
      <c r="S60" s="646"/>
      <c r="T60" s="646"/>
      <c r="U60" s="646"/>
      <c r="V60" s="646"/>
      <c r="W60" s="646"/>
      <c r="X60" s="23"/>
      <c r="Y60" s="22">
        <f t="shared" si="7"/>
        <v>0</v>
      </c>
    </row>
    <row r="61" spans="1:25" ht="20.100000000000001" customHeight="1">
      <c r="A61" s="51" t="str">
        <f ca="1">INDIRECT("Datos!B"&amp;MATCH("RUBRO ITEM",Datos!B:B,0)+ROW()-MATCH("RUBRO ITEM",A:A,0)-1)</f>
        <v>6.1.3</v>
      </c>
      <c r="B61" s="29" t="str">
        <f t="shared" ca="1" si="5"/>
        <v>Excavación</v>
      </c>
      <c r="C61" s="30"/>
      <c r="D61" s="13">
        <f t="shared" ca="1" si="6"/>
        <v>0</v>
      </c>
      <c r="E61" s="41"/>
      <c r="F61" s="437"/>
      <c r="G61" s="437"/>
      <c r="H61" s="437"/>
      <c r="I61" s="437"/>
      <c r="J61" s="437"/>
      <c r="K61" s="437"/>
      <c r="L61" s="437"/>
      <c r="M61" s="437"/>
      <c r="N61" s="437"/>
      <c r="O61" s="437"/>
      <c r="P61" s="437"/>
      <c r="Q61" s="437"/>
      <c r="R61" s="646"/>
      <c r="S61" s="646"/>
      <c r="T61" s="646"/>
      <c r="U61" s="646"/>
      <c r="V61" s="646"/>
      <c r="W61" s="646"/>
      <c r="X61" s="23"/>
      <c r="Y61" s="22">
        <f t="shared" si="7"/>
        <v>0</v>
      </c>
    </row>
    <row r="62" spans="1:25" ht="20.100000000000001" customHeight="1">
      <c r="A62" s="51" t="str">
        <f ca="1">INDIRECT("Datos!B"&amp;MATCH("RUBRO ITEM",Datos!B:B,0)+ROW()-MATCH("RUBRO ITEM",A:A,0)-1)</f>
        <v>6.1.4</v>
      </c>
      <c r="B62" s="29" t="str">
        <f t="shared" ca="1" si="5"/>
        <v>Relleno y compactación</v>
      </c>
      <c r="C62" s="30"/>
      <c r="D62" s="13">
        <f t="shared" ca="1" si="6"/>
        <v>0</v>
      </c>
      <c r="E62" s="41"/>
      <c r="F62" s="437"/>
      <c r="G62" s="437"/>
      <c r="H62" s="437"/>
      <c r="I62" s="437"/>
      <c r="J62" s="437"/>
      <c r="K62" s="437"/>
      <c r="L62" s="437"/>
      <c r="M62" s="437"/>
      <c r="N62" s="437"/>
      <c r="O62" s="437"/>
      <c r="P62" s="437"/>
      <c r="Q62" s="437"/>
      <c r="R62" s="646"/>
      <c r="S62" s="646"/>
      <c r="T62" s="646"/>
      <c r="U62" s="646"/>
      <c r="V62" s="646"/>
      <c r="W62" s="646"/>
      <c r="X62" s="23"/>
      <c r="Y62" s="22">
        <f t="shared" si="7"/>
        <v>0</v>
      </c>
    </row>
    <row r="63" spans="1:25" ht="20.100000000000001" customHeight="1">
      <c r="A63" s="51" t="str">
        <f ca="1">INDIRECT("Datos!B"&amp;MATCH("RUBRO ITEM",Datos!B:B,0)+ROW()-MATCH("RUBRO ITEM",A:A,0)-1)</f>
        <v>6.1.5</v>
      </c>
      <c r="B63" s="29" t="str">
        <f t="shared" ca="1" si="5"/>
        <v>Hormigon H20</v>
      </c>
      <c r="C63" s="30"/>
      <c r="D63" s="13">
        <f t="shared" ca="1" si="6"/>
        <v>0</v>
      </c>
      <c r="E63" s="41"/>
      <c r="F63" s="437"/>
      <c r="G63" s="437"/>
      <c r="H63" s="437"/>
      <c r="I63" s="437"/>
      <c r="J63" s="437"/>
      <c r="K63" s="437"/>
      <c r="L63" s="437"/>
      <c r="M63" s="437"/>
      <c r="N63" s="437"/>
      <c r="O63" s="437"/>
      <c r="P63" s="437"/>
      <c r="Q63" s="437"/>
      <c r="R63" s="646"/>
      <c r="S63" s="646"/>
      <c r="T63" s="646"/>
      <c r="U63" s="646"/>
      <c r="V63" s="646"/>
      <c r="W63" s="646"/>
      <c r="X63" s="23"/>
      <c r="Y63" s="22">
        <f t="shared" si="7"/>
        <v>0</v>
      </c>
    </row>
    <row r="64" spans="1:25" ht="20.100000000000001" customHeight="1">
      <c r="A64" s="51" t="str">
        <f ca="1">INDIRECT("Datos!B"&amp;MATCH("RUBRO ITEM",Datos!B:B,0)+ROW()-MATCH("RUBRO ITEM",A:A,0)-1)</f>
        <v>6.1.6</v>
      </c>
      <c r="B64" s="29" t="str">
        <f t="shared" ca="1" si="5"/>
        <v>Malla de acero</v>
      </c>
      <c r="C64" s="30"/>
      <c r="D64" s="13">
        <f t="shared" ca="1" si="6"/>
        <v>0</v>
      </c>
      <c r="E64" s="41"/>
      <c r="F64" s="437"/>
      <c r="G64" s="437"/>
      <c r="H64" s="437"/>
      <c r="I64" s="437"/>
      <c r="J64" s="437"/>
      <c r="K64" s="437"/>
      <c r="L64" s="437"/>
      <c r="M64" s="437"/>
      <c r="N64" s="437"/>
      <c r="O64" s="437"/>
      <c r="P64" s="437"/>
      <c r="Q64" s="437"/>
      <c r="R64" s="646"/>
      <c r="S64" s="646"/>
      <c r="T64" s="646"/>
      <c r="U64" s="646"/>
      <c r="V64" s="646"/>
      <c r="W64" s="646"/>
      <c r="X64" s="23"/>
      <c r="Y64" s="22">
        <f t="shared" si="7"/>
        <v>0</v>
      </c>
    </row>
    <row r="65" spans="1:25" ht="20.100000000000001" customHeight="1">
      <c r="A65" s="51" t="str">
        <f ca="1">INDIRECT("Datos!B"&amp;MATCH("RUBRO ITEM",Datos!B:B,0)+ROW()-MATCH("RUBRO ITEM",A:A,0)-1)</f>
        <v>6.2</v>
      </c>
      <c r="B65" s="29" t="str">
        <f t="shared" ca="1" si="5"/>
        <v>Obras de cruce aluvional</v>
      </c>
      <c r="C65" s="30"/>
      <c r="D65" s="13">
        <f t="shared" ca="1" si="6"/>
        <v>0</v>
      </c>
      <c r="E65" s="41"/>
      <c r="F65" s="437"/>
      <c r="G65" s="437"/>
      <c r="H65" s="437"/>
      <c r="I65" s="437"/>
      <c r="J65" s="437"/>
      <c r="K65" s="437"/>
      <c r="L65" s="437"/>
      <c r="M65" s="437"/>
      <c r="N65" s="437"/>
      <c r="O65" s="437"/>
      <c r="P65" s="437"/>
      <c r="Q65" s="437"/>
      <c r="R65" s="646"/>
      <c r="S65" s="646"/>
      <c r="T65" s="646"/>
      <c r="U65" s="646"/>
      <c r="V65" s="646"/>
      <c r="W65" s="646"/>
      <c r="X65" s="23"/>
      <c r="Y65" s="22">
        <f t="shared" si="7"/>
        <v>0</v>
      </c>
    </row>
    <row r="66" spans="1:25" ht="20.100000000000001" customHeight="1">
      <c r="A66" s="51" t="str">
        <f ca="1">INDIRECT("Datos!B"&amp;MATCH("RUBRO ITEM",Datos!B:B,0)+ROW()-MATCH("RUBRO ITEM",A:A,0)-1)</f>
        <v>6.2.1</v>
      </c>
      <c r="B66" s="29" t="str">
        <f t="shared" ca="1" si="5"/>
        <v>Limpieza y preparación del terreno</v>
      </c>
      <c r="C66" s="30"/>
      <c r="D66" s="13">
        <f t="shared" ca="1" si="6"/>
        <v>0</v>
      </c>
      <c r="E66" s="41"/>
      <c r="F66" s="437"/>
      <c r="G66" s="437"/>
      <c r="H66" s="437"/>
      <c r="I66" s="437"/>
      <c r="J66" s="437"/>
      <c r="K66" s="437"/>
      <c r="L66" s="437"/>
      <c r="M66" s="437"/>
      <c r="N66" s="437"/>
      <c r="O66" s="437"/>
      <c r="P66" s="437"/>
      <c r="Q66" s="437"/>
      <c r="R66" s="646"/>
      <c r="S66" s="646"/>
      <c r="T66" s="646"/>
      <c r="U66" s="646"/>
      <c r="V66" s="646"/>
      <c r="W66" s="646"/>
      <c r="X66" s="23"/>
      <c r="Y66" s="22">
        <f t="shared" si="7"/>
        <v>0</v>
      </c>
    </row>
    <row r="67" spans="1:25" ht="20.100000000000001" customHeight="1">
      <c r="A67" s="51" t="str">
        <f ca="1">INDIRECT("Datos!B"&amp;MATCH("RUBRO ITEM",Datos!B:B,0)+ROW()-MATCH("RUBRO ITEM",A:A,0)-1)</f>
        <v>6.2.2</v>
      </c>
      <c r="B67" s="29" t="str">
        <f t="shared" ca="1" si="5"/>
        <v>Excavación</v>
      </c>
      <c r="C67" s="30"/>
      <c r="D67" s="13">
        <f t="shared" ca="1" si="6"/>
        <v>0</v>
      </c>
      <c r="E67" s="41"/>
      <c r="F67" s="437"/>
      <c r="G67" s="437"/>
      <c r="H67" s="437"/>
      <c r="I67" s="437"/>
      <c r="J67" s="437"/>
      <c r="K67" s="437"/>
      <c r="L67" s="437"/>
      <c r="M67" s="437"/>
      <c r="N67" s="437"/>
      <c r="O67" s="437"/>
      <c r="P67" s="437"/>
      <c r="Q67" s="437"/>
      <c r="R67" s="646"/>
      <c r="S67" s="646"/>
      <c r="T67" s="646"/>
      <c r="U67" s="646"/>
      <c r="V67" s="646"/>
      <c r="W67" s="646"/>
      <c r="X67" s="23"/>
      <c r="Y67" s="22">
        <f t="shared" si="7"/>
        <v>0</v>
      </c>
    </row>
    <row r="68" spans="1:25" ht="20.100000000000001" customHeight="1">
      <c r="A68" s="51" t="str">
        <f ca="1">INDIRECT("Datos!B"&amp;MATCH("RUBRO ITEM",Datos!B:B,0)+ROW()-MATCH("RUBRO ITEM",A:A,0)-1)</f>
        <v>6.2.3</v>
      </c>
      <c r="B68" s="29" t="str">
        <f t="shared" ca="1" si="5"/>
        <v>Demoliciones</v>
      </c>
      <c r="C68" s="30"/>
      <c r="D68" s="13">
        <f t="shared" ca="1" si="6"/>
        <v>0</v>
      </c>
      <c r="E68" s="41"/>
      <c r="F68" s="437"/>
      <c r="G68" s="437"/>
      <c r="H68" s="437"/>
      <c r="I68" s="437"/>
      <c r="J68" s="437"/>
      <c r="K68" s="437"/>
      <c r="L68" s="437"/>
      <c r="M68" s="437"/>
      <c r="N68" s="437"/>
      <c r="O68" s="437"/>
      <c r="P68" s="437"/>
      <c r="Q68" s="437"/>
      <c r="R68" s="646"/>
      <c r="S68" s="646"/>
      <c r="T68" s="646"/>
      <c r="U68" s="646"/>
      <c r="V68" s="646"/>
      <c r="W68" s="646"/>
      <c r="X68" s="23"/>
      <c r="Y68" s="22">
        <f t="shared" si="7"/>
        <v>0</v>
      </c>
    </row>
    <row r="69" spans="1:25" ht="20.100000000000001" customHeight="1">
      <c r="A69" s="51" t="str">
        <f ca="1">INDIRECT("Datos!B"&amp;MATCH("RUBRO ITEM",Datos!B:B,0)+ROW()-MATCH("RUBRO ITEM",A:A,0)-1)</f>
        <v>6.2.4</v>
      </c>
      <c r="B69" s="29" t="str">
        <f t="shared" ca="1" si="5"/>
        <v>Hormigon de limpleza</v>
      </c>
      <c r="C69" s="30"/>
      <c r="D69" s="13">
        <f t="shared" ca="1" si="6"/>
        <v>0</v>
      </c>
      <c r="E69" s="41"/>
      <c r="F69" s="437"/>
      <c r="G69" s="437"/>
      <c r="H69" s="437"/>
      <c r="I69" s="437"/>
      <c r="J69" s="437"/>
      <c r="K69" s="437"/>
      <c r="L69" s="437"/>
      <c r="M69" s="437"/>
      <c r="N69" s="437"/>
      <c r="O69" s="437"/>
      <c r="P69" s="437"/>
      <c r="Q69" s="437"/>
      <c r="R69" s="646"/>
      <c r="S69" s="646"/>
      <c r="T69" s="646"/>
      <c r="U69" s="646"/>
      <c r="V69" s="646"/>
      <c r="W69" s="646"/>
      <c r="X69" s="23"/>
      <c r="Y69" s="22">
        <f t="shared" si="7"/>
        <v>0</v>
      </c>
    </row>
    <row r="70" spans="1:25" ht="20.100000000000001" customHeight="1">
      <c r="A70" s="51" t="str">
        <f ca="1">INDIRECT("Datos!B"&amp;MATCH("RUBRO ITEM",Datos!B:B,0)+ROW()-MATCH("RUBRO ITEM",A:A,0)-1)</f>
        <v>6.2.5</v>
      </c>
      <c r="B70" s="29" t="str">
        <f t="shared" ca="1" si="5"/>
        <v>Hormigon H20</v>
      </c>
      <c r="C70" s="30"/>
      <c r="D70" s="13">
        <f t="shared" ca="1" si="6"/>
        <v>0</v>
      </c>
      <c r="E70" s="41"/>
      <c r="F70" s="437"/>
      <c r="G70" s="437"/>
      <c r="H70" s="437"/>
      <c r="I70" s="437"/>
      <c r="J70" s="437"/>
      <c r="K70" s="437"/>
      <c r="L70" s="437"/>
      <c r="M70" s="437"/>
      <c r="N70" s="437"/>
      <c r="O70" s="437"/>
      <c r="P70" s="437"/>
      <c r="Q70" s="437"/>
      <c r="R70" s="646"/>
      <c r="S70" s="646"/>
      <c r="T70" s="646"/>
      <c r="U70" s="646"/>
      <c r="V70" s="646"/>
      <c r="W70" s="646"/>
      <c r="X70" s="23"/>
      <c r="Y70" s="22">
        <f t="shared" si="7"/>
        <v>0</v>
      </c>
    </row>
    <row r="71" spans="1:25" ht="20.100000000000001" customHeight="1">
      <c r="A71" s="51" t="str">
        <f ca="1">INDIRECT("Datos!B"&amp;MATCH("RUBRO ITEM",Datos!B:B,0)+ROW()-MATCH("RUBRO ITEM",A:A,0)-1)</f>
        <v>6.2.6</v>
      </c>
      <c r="B71" s="29" t="str">
        <f t="shared" ca="1" si="5"/>
        <v>Malla de acero</v>
      </c>
      <c r="C71" s="30"/>
      <c r="D71" s="13">
        <f t="shared" ca="1" si="6"/>
        <v>0</v>
      </c>
      <c r="E71" s="41"/>
      <c r="F71" s="437"/>
      <c r="G71" s="437"/>
      <c r="H71" s="437"/>
      <c r="I71" s="437"/>
      <c r="J71" s="437"/>
      <c r="K71" s="437"/>
      <c r="L71" s="437"/>
      <c r="M71" s="437"/>
      <c r="N71" s="437"/>
      <c r="O71" s="437"/>
      <c r="P71" s="437"/>
      <c r="Q71" s="437"/>
      <c r="R71" s="646"/>
      <c r="S71" s="646"/>
      <c r="T71" s="646"/>
      <c r="U71" s="646"/>
      <c r="V71" s="646"/>
      <c r="W71" s="646"/>
      <c r="X71" s="23"/>
      <c r="Y71" s="22">
        <f t="shared" si="7"/>
        <v>0</v>
      </c>
    </row>
    <row r="72" spans="1:25" ht="20.100000000000001" customHeight="1">
      <c r="A72" s="51" t="str">
        <f ca="1">INDIRECT("Datos!B"&amp;MATCH("RUBRO ITEM",Datos!B:B,0)+ROW()-MATCH("RUBRO ITEM",A:A,0)-1)</f>
        <v>6.2.7</v>
      </c>
      <c r="B72" s="29" t="str">
        <f t="shared" ref="B72:B80" ca="1" si="8">IFERROR(VLOOKUP(A72,T_Computo_Presupuesto,2,FALSE),"")</f>
        <v>Remocion recubrimiento dañado y limpieza en pila, fondo losa y estribos</v>
      </c>
      <c r="C72" s="30"/>
      <c r="D72" s="13">
        <f t="shared" ref="D72:D79" ca="1" si="9">IFERROR(VLOOKUP(A72,T_Computo_Presupuesto,9,FALSE),0)</f>
        <v>0</v>
      </c>
      <c r="E72" s="41"/>
      <c r="F72" s="437"/>
      <c r="G72" s="437"/>
      <c r="H72" s="437"/>
      <c r="I72" s="437"/>
      <c r="J72" s="437"/>
      <c r="K72" s="437"/>
      <c r="L72" s="437"/>
      <c r="M72" s="437"/>
      <c r="N72" s="437"/>
      <c r="O72" s="437"/>
      <c r="P72" s="437"/>
      <c r="Q72" s="437"/>
      <c r="R72" s="646"/>
      <c r="S72" s="646"/>
      <c r="T72" s="646"/>
      <c r="U72" s="646"/>
      <c r="V72" s="646"/>
      <c r="W72" s="646"/>
      <c r="X72" s="23"/>
      <c r="Y72" s="22">
        <f t="shared" si="7"/>
        <v>0</v>
      </c>
    </row>
    <row r="73" spans="1:25" ht="20.100000000000001" customHeight="1">
      <c r="A73" s="51" t="str">
        <f ca="1">INDIRECT("Datos!B"&amp;MATCH("RUBRO ITEM",Datos!B:B,0)+ROW()-MATCH("RUBRO ITEM",A:A,0)-1)</f>
        <v>6.2.8</v>
      </c>
      <c r="B73" s="29" t="str">
        <f t="shared" ca="1" si="8"/>
        <v>Arenado de armaduras existentes</v>
      </c>
      <c r="C73" s="30"/>
      <c r="D73" s="13">
        <f t="shared" ca="1" si="9"/>
        <v>0</v>
      </c>
      <c r="E73" s="41"/>
      <c r="F73" s="437"/>
      <c r="G73" s="437"/>
      <c r="H73" s="437"/>
      <c r="I73" s="437"/>
      <c r="J73" s="437"/>
      <c r="K73" s="437"/>
      <c r="L73" s="437"/>
      <c r="M73" s="437"/>
      <c r="N73" s="437"/>
      <c r="O73" s="437"/>
      <c r="P73" s="437"/>
      <c r="Q73" s="437"/>
      <c r="R73" s="646"/>
      <c r="S73" s="646"/>
      <c r="T73" s="646"/>
      <c r="U73" s="646"/>
      <c r="V73" s="646"/>
      <c r="W73" s="646"/>
      <c r="X73" s="23"/>
      <c r="Y73" s="22">
        <f t="shared" si="7"/>
        <v>0</v>
      </c>
    </row>
    <row r="74" spans="1:25" ht="20.100000000000001" customHeight="1">
      <c r="A74" s="51" t="str">
        <f ca="1">INDIRECT("Datos!B"&amp;MATCH("RUBRO ITEM",Datos!B:B,0)+ROW()-MATCH("RUBRO ITEM",A:A,0)-1)</f>
        <v>6.2.9</v>
      </c>
      <c r="B74" s="29" t="str">
        <f t="shared" ca="1" si="8"/>
        <v>provision e instalacion de pernos de anclaje en estribos</v>
      </c>
      <c r="C74" s="30"/>
      <c r="D74" s="13">
        <f t="shared" ca="1" si="9"/>
        <v>0</v>
      </c>
      <c r="E74" s="41"/>
      <c r="F74" s="437"/>
      <c r="G74" s="437"/>
      <c r="H74" s="437"/>
      <c r="I74" s="437"/>
      <c r="J74" s="437"/>
      <c r="K74" s="437"/>
      <c r="L74" s="437"/>
      <c r="M74" s="437"/>
      <c r="N74" s="437"/>
      <c r="O74" s="437"/>
      <c r="P74" s="437"/>
      <c r="Q74" s="437"/>
      <c r="R74" s="646"/>
      <c r="S74" s="646"/>
      <c r="T74" s="646"/>
      <c r="U74" s="646"/>
      <c r="V74" s="646"/>
      <c r="W74" s="646"/>
      <c r="X74" s="23"/>
      <c r="Y74" s="22">
        <f t="shared" si="7"/>
        <v>0</v>
      </c>
    </row>
    <row r="75" spans="1:25" ht="20.100000000000001" customHeight="1">
      <c r="A75" s="51" t="str">
        <f ca="1">INDIRECT("Datos!B"&amp;MATCH("RUBRO ITEM",Datos!B:B,0)+ROW()-MATCH("RUBRO ITEM",A:A,0)-1)</f>
        <v>6.2.10</v>
      </c>
      <c r="B75" s="29" t="str">
        <f t="shared" ca="1" si="8"/>
        <v>Proteccion convertidor de óxido</v>
      </c>
      <c r="C75" s="30"/>
      <c r="D75" s="13">
        <f t="shared" ca="1" si="9"/>
        <v>0</v>
      </c>
      <c r="E75" s="41"/>
      <c r="F75" s="437"/>
      <c r="G75" s="437"/>
      <c r="H75" s="437"/>
      <c r="I75" s="437"/>
      <c r="J75" s="437"/>
      <c r="K75" s="437"/>
      <c r="L75" s="437"/>
      <c r="M75" s="437"/>
      <c r="N75" s="437"/>
      <c r="O75" s="437"/>
      <c r="P75" s="437"/>
      <c r="Q75" s="437"/>
      <c r="R75" s="646"/>
      <c r="S75" s="646"/>
      <c r="T75" s="646"/>
      <c r="U75" s="646"/>
      <c r="V75" s="646"/>
      <c r="W75" s="646"/>
      <c r="X75" s="23"/>
      <c r="Y75" s="22">
        <f t="shared" si="7"/>
        <v>0</v>
      </c>
    </row>
    <row r="76" spans="1:25" ht="20.100000000000001" customHeight="1">
      <c r="A76" s="51" t="str">
        <f ca="1">INDIRECT("Datos!B"&amp;MATCH("RUBRO ITEM",Datos!B:B,0)+ROW()-MATCH("RUBRO ITEM",A:A,0)-1)</f>
        <v>6.2.11</v>
      </c>
      <c r="B76" s="29" t="str">
        <f t="shared" ca="1" si="8"/>
        <v>Puente de adherencia entre hormigones</v>
      </c>
      <c r="C76" s="30"/>
      <c r="D76" s="13">
        <f t="shared" ca="1" si="9"/>
        <v>0</v>
      </c>
      <c r="E76" s="41"/>
      <c r="F76" s="437"/>
      <c r="G76" s="437"/>
      <c r="H76" s="437"/>
      <c r="I76" s="437"/>
      <c r="J76" s="437"/>
      <c r="K76" s="437"/>
      <c r="L76" s="437"/>
      <c r="M76" s="437"/>
      <c r="N76" s="437"/>
      <c r="O76" s="437"/>
      <c r="P76" s="437"/>
      <c r="Q76" s="437"/>
      <c r="R76" s="646"/>
      <c r="S76" s="646"/>
      <c r="T76" s="646"/>
      <c r="U76" s="646"/>
      <c r="V76" s="646"/>
      <c r="W76" s="646"/>
      <c r="X76" s="23"/>
      <c r="Y76" s="22">
        <f t="shared" si="7"/>
        <v>0</v>
      </c>
    </row>
    <row r="77" spans="1:25" ht="20.100000000000001" customHeight="1">
      <c r="A77" s="51" t="str">
        <f ca="1">INDIRECT("Datos!B"&amp;MATCH("RUBRO ITEM",Datos!B:B,0)+ROW()-MATCH("RUBRO ITEM",A:A,0)-1)</f>
        <v>6.2.12</v>
      </c>
      <c r="B77" s="29" t="str">
        <f t="shared" ca="1" si="8"/>
        <v>Juntas de dilatacion</v>
      </c>
      <c r="C77" s="30"/>
      <c r="D77" s="13">
        <f t="shared" ca="1" si="9"/>
        <v>0</v>
      </c>
      <c r="E77" s="41"/>
      <c r="F77" s="437"/>
      <c r="G77" s="437"/>
      <c r="H77" s="437"/>
      <c r="I77" s="437"/>
      <c r="J77" s="437"/>
      <c r="K77" s="437"/>
      <c r="L77" s="437"/>
      <c r="M77" s="437"/>
      <c r="N77" s="437"/>
      <c r="O77" s="437"/>
      <c r="P77" s="437"/>
      <c r="Q77" s="437"/>
      <c r="R77" s="646"/>
      <c r="S77" s="646"/>
      <c r="T77" s="646"/>
      <c r="U77" s="646"/>
      <c r="V77" s="646"/>
      <c r="W77" s="646"/>
      <c r="X77" s="23"/>
      <c r="Y77" s="22">
        <f t="shared" si="7"/>
        <v>0</v>
      </c>
    </row>
    <row r="78" spans="1:25" ht="20.100000000000001" customHeight="1">
      <c r="A78" s="51" t="str">
        <f ca="1">INDIRECT("Datos!B"&amp;MATCH("RUBRO ITEM",Datos!B:B,0)+ROW()-MATCH("RUBRO ITEM",A:A,0)-1)</f>
        <v>6.2.13</v>
      </c>
      <c r="B78" s="29" t="str">
        <f t="shared" ca="1" si="8"/>
        <v>Hormigón ciclopeo</v>
      </c>
      <c r="C78" s="30"/>
      <c r="D78" s="13">
        <f t="shared" ca="1" si="9"/>
        <v>0</v>
      </c>
      <c r="E78" s="41"/>
      <c r="F78" s="437"/>
      <c r="G78" s="437"/>
      <c r="H78" s="437"/>
      <c r="I78" s="437"/>
      <c r="J78" s="437"/>
      <c r="K78" s="437"/>
      <c r="L78" s="437"/>
      <c r="M78" s="437"/>
      <c r="N78" s="437"/>
      <c r="O78" s="437"/>
      <c r="P78" s="437"/>
      <c r="Q78" s="437"/>
      <c r="R78" s="646"/>
      <c r="S78" s="646"/>
      <c r="T78" s="646"/>
      <c r="U78" s="646"/>
      <c r="V78" s="646"/>
      <c r="W78" s="646"/>
      <c r="X78" s="23"/>
      <c r="Y78" s="22">
        <f t="shared" si="7"/>
        <v>0</v>
      </c>
    </row>
    <row r="79" spans="1:25" ht="20.100000000000001" customHeight="1">
      <c r="A79" s="51" t="str">
        <f ca="1">INDIRECT("Datos!B"&amp;MATCH("RUBRO ITEM",Datos!B:B,0)+ROW()-MATCH("RUBRO ITEM",A:A,0)-1)</f>
        <v>6.2.14</v>
      </c>
      <c r="B79" s="29" t="str">
        <f t="shared" ca="1" si="8"/>
        <v>Aplicación puente de adherencia y reconstruccion de recubrimiento</v>
      </c>
      <c r="C79" s="30"/>
      <c r="D79" s="13">
        <f t="shared" ca="1" si="9"/>
        <v>0</v>
      </c>
      <c r="E79" s="41"/>
      <c r="F79" s="437"/>
      <c r="G79" s="437"/>
      <c r="H79" s="437"/>
      <c r="I79" s="437"/>
      <c r="J79" s="437"/>
      <c r="K79" s="437"/>
      <c r="L79" s="437"/>
      <c r="M79" s="437"/>
      <c r="N79" s="437"/>
      <c r="O79" s="437"/>
      <c r="P79" s="437"/>
      <c r="Q79" s="437"/>
      <c r="R79" s="646"/>
      <c r="S79" s="646"/>
      <c r="T79" s="646"/>
      <c r="U79" s="646"/>
      <c r="V79" s="646"/>
      <c r="W79" s="646"/>
      <c r="X79" s="23"/>
      <c r="Y79" s="22">
        <f t="shared" si="7"/>
        <v>0</v>
      </c>
    </row>
    <row r="80" spans="1:25" ht="20.100000000000001" customHeight="1">
      <c r="A80" s="51" t="str">
        <f ca="1">INDIRECT("Datos!B"&amp;MATCH("RUBRO ITEM",Datos!B:B,0)+ROW()-MATCH("RUBRO ITEM",A:A,0)-1)</f>
        <v>6.2.15</v>
      </c>
      <c r="B80" s="29" t="str">
        <f t="shared" ca="1" si="8"/>
        <v>Juntas constructivas</v>
      </c>
      <c r="C80" s="30"/>
      <c r="D80" s="13"/>
      <c r="E80" s="41"/>
      <c r="F80" s="437"/>
      <c r="G80" s="437"/>
      <c r="H80" s="437"/>
      <c r="I80" s="437"/>
      <c r="J80" s="437"/>
      <c r="K80" s="437"/>
      <c r="L80" s="437"/>
      <c r="M80" s="437"/>
      <c r="N80" s="437"/>
      <c r="O80" s="437"/>
      <c r="P80" s="437"/>
      <c r="Q80" s="437"/>
      <c r="R80" s="646"/>
      <c r="S80" s="646"/>
      <c r="T80" s="646"/>
      <c r="U80" s="646"/>
      <c r="V80" s="646"/>
      <c r="W80" s="646"/>
      <c r="X80" s="659"/>
      <c r="Y80" s="660"/>
    </row>
    <row r="81" spans="1:25" ht="20.100000000000001" customHeight="1">
      <c r="A81" s="46" t="s">
        <v>3</v>
      </c>
      <c r="B81" s="44" t="s">
        <v>6</v>
      </c>
      <c r="C81" s="47"/>
      <c r="D81" s="43">
        <f ca="1">SUM(D13:D79)</f>
        <v>0</v>
      </c>
      <c r="E81" s="42"/>
      <c r="F81" s="32"/>
      <c r="G81" s="32"/>
      <c r="H81" s="32"/>
      <c r="I81" s="32"/>
      <c r="J81" s="32"/>
      <c r="K81" s="32"/>
      <c r="L81" s="32"/>
      <c r="M81" s="32"/>
      <c r="N81" s="32"/>
      <c r="O81" s="32"/>
      <c r="P81" s="32"/>
      <c r="Q81" s="32"/>
      <c r="R81" s="32"/>
      <c r="S81" s="32"/>
      <c r="T81" s="32"/>
      <c r="U81" s="32"/>
      <c r="V81" s="32"/>
      <c r="W81" s="32"/>
    </row>
    <row r="82" spans="1:25" ht="20.100000000000001" customHeight="1">
      <c r="A82" s="5"/>
      <c r="B82" s="5"/>
      <c r="C82" s="5"/>
      <c r="D82" s="5"/>
      <c r="E82" s="5"/>
      <c r="F82" s="5"/>
      <c r="G82" s="5"/>
      <c r="H82" s="5"/>
      <c r="I82" s="5"/>
      <c r="J82" s="5"/>
      <c r="K82" s="5"/>
      <c r="L82" s="5"/>
      <c r="M82" s="5"/>
      <c r="N82" s="5"/>
      <c r="O82" s="5"/>
      <c r="P82" s="5"/>
      <c r="Q82" s="5"/>
      <c r="R82" s="5"/>
      <c r="S82" s="5"/>
      <c r="T82" s="5"/>
      <c r="U82" s="5"/>
      <c r="V82" s="5"/>
      <c r="W82" s="5"/>
    </row>
    <row r="83" spans="1:25" ht="20.100000000000001" customHeight="1">
      <c r="A83" s="5"/>
      <c r="B83" s="5"/>
      <c r="C83" s="5"/>
      <c r="D83" s="33" t="s">
        <v>17</v>
      </c>
      <c r="E83" s="5">
        <v>0</v>
      </c>
      <c r="F83" s="34">
        <f t="shared" ref="F83:W83" ca="1" si="10">SUMPRODUCT($D$13:$D$79,F13:F79)</f>
        <v>0</v>
      </c>
      <c r="G83" s="34">
        <f t="shared" ca="1" si="10"/>
        <v>0</v>
      </c>
      <c r="H83" s="34">
        <f t="shared" ca="1" si="10"/>
        <v>0</v>
      </c>
      <c r="I83" s="34">
        <f t="shared" ca="1" si="10"/>
        <v>0</v>
      </c>
      <c r="J83" s="34">
        <f t="shared" ca="1" si="10"/>
        <v>0</v>
      </c>
      <c r="K83" s="34">
        <f t="shared" ca="1" si="10"/>
        <v>0</v>
      </c>
      <c r="L83" s="34">
        <f t="shared" ca="1" si="10"/>
        <v>0</v>
      </c>
      <c r="M83" s="34">
        <f t="shared" ca="1" si="10"/>
        <v>0</v>
      </c>
      <c r="N83" s="34">
        <f t="shared" ca="1" si="10"/>
        <v>0</v>
      </c>
      <c r="O83" s="34">
        <f t="shared" ca="1" si="10"/>
        <v>0</v>
      </c>
      <c r="P83" s="34">
        <f t="shared" ca="1" si="10"/>
        <v>0</v>
      </c>
      <c r="Q83" s="34">
        <f t="shared" ca="1" si="10"/>
        <v>0</v>
      </c>
      <c r="R83" s="34">
        <f t="shared" ca="1" si="10"/>
        <v>0</v>
      </c>
      <c r="S83" s="34">
        <f t="shared" ca="1" si="10"/>
        <v>0</v>
      </c>
      <c r="T83" s="34">
        <f t="shared" ca="1" si="10"/>
        <v>0</v>
      </c>
      <c r="U83" s="34">
        <f t="shared" ca="1" si="10"/>
        <v>0</v>
      </c>
      <c r="V83" s="34">
        <f t="shared" ca="1" si="10"/>
        <v>0</v>
      </c>
      <c r="W83" s="34">
        <f t="shared" ca="1" si="10"/>
        <v>0</v>
      </c>
      <c r="X83" s="24"/>
    </row>
    <row r="84" spans="1:25" ht="20.100000000000001" customHeight="1">
      <c r="A84" s="5"/>
      <c r="B84" s="5"/>
      <c r="C84" s="5"/>
      <c r="D84" s="33" t="s">
        <v>18</v>
      </c>
      <c r="E84" s="5">
        <v>0</v>
      </c>
      <c r="F84" s="34">
        <f ca="1">E84+F83</f>
        <v>0</v>
      </c>
      <c r="G84" s="34">
        <f t="shared" ref="G84:P84" ca="1" si="11">F84+G83</f>
        <v>0</v>
      </c>
      <c r="H84" s="34">
        <f t="shared" ca="1" si="11"/>
        <v>0</v>
      </c>
      <c r="I84" s="34">
        <f t="shared" ca="1" si="11"/>
        <v>0</v>
      </c>
      <c r="J84" s="34">
        <f t="shared" ca="1" si="11"/>
        <v>0</v>
      </c>
      <c r="K84" s="34">
        <f t="shared" ca="1" si="11"/>
        <v>0</v>
      </c>
      <c r="L84" s="34">
        <f t="shared" ca="1" si="11"/>
        <v>0</v>
      </c>
      <c r="M84" s="34">
        <f t="shared" ca="1" si="11"/>
        <v>0</v>
      </c>
      <c r="N84" s="34">
        <f t="shared" ca="1" si="11"/>
        <v>0</v>
      </c>
      <c r="O84" s="34">
        <f t="shared" ca="1" si="11"/>
        <v>0</v>
      </c>
      <c r="P84" s="34">
        <f t="shared" ca="1" si="11"/>
        <v>0</v>
      </c>
      <c r="Q84" s="34">
        <f ca="1">P84+Q83</f>
        <v>0</v>
      </c>
      <c r="R84" s="34">
        <f t="shared" ref="R84:W84" ca="1" si="12">Q84+R83</f>
        <v>0</v>
      </c>
      <c r="S84" s="34">
        <f t="shared" ca="1" si="12"/>
        <v>0</v>
      </c>
      <c r="T84" s="34">
        <f t="shared" ca="1" si="12"/>
        <v>0</v>
      </c>
      <c r="U84" s="34">
        <f t="shared" ca="1" si="12"/>
        <v>0</v>
      </c>
      <c r="V84" s="34">
        <f t="shared" ca="1" si="12"/>
        <v>0</v>
      </c>
      <c r="W84" s="34">
        <f t="shared" ca="1" si="12"/>
        <v>0</v>
      </c>
      <c r="X84" s="24"/>
    </row>
    <row r="85" spans="1:25" ht="20.100000000000001" customHeight="1">
      <c r="A85" s="5"/>
      <c r="B85" s="5"/>
      <c r="C85" s="5"/>
      <c r="D85" s="35"/>
      <c r="E85" s="36" t="s">
        <v>940</v>
      </c>
      <c r="F85" s="5"/>
      <c r="G85" s="5"/>
      <c r="H85" s="5"/>
      <c r="I85" s="5"/>
      <c r="J85" s="5"/>
      <c r="K85" s="5"/>
      <c r="L85" s="5"/>
      <c r="M85" s="5"/>
      <c r="N85" s="5"/>
      <c r="O85" s="5"/>
      <c r="P85" s="5"/>
      <c r="Q85" s="5"/>
      <c r="R85" s="5"/>
      <c r="S85" s="5"/>
      <c r="T85" s="5"/>
      <c r="U85" s="5"/>
      <c r="V85" s="5"/>
      <c r="W85" s="5"/>
    </row>
    <row r="86" spans="1:25" ht="20.100000000000001" customHeight="1">
      <c r="A86" s="5"/>
      <c r="B86" s="5"/>
      <c r="C86" s="5"/>
      <c r="D86" s="33" t="s">
        <v>19</v>
      </c>
      <c r="E86" s="37">
        <f ca="1">Anticipo_Financiero*Monto_Oferta</f>
        <v>0</v>
      </c>
      <c r="F86" s="37">
        <f t="shared" ref="F86:W86" ca="1" si="13">Monto_Oferta*F83</f>
        <v>0</v>
      </c>
      <c r="G86" s="37">
        <f t="shared" ca="1" si="13"/>
        <v>0</v>
      </c>
      <c r="H86" s="37">
        <f t="shared" ca="1" si="13"/>
        <v>0</v>
      </c>
      <c r="I86" s="37">
        <f t="shared" ca="1" si="13"/>
        <v>0</v>
      </c>
      <c r="J86" s="37">
        <f t="shared" ca="1" si="13"/>
        <v>0</v>
      </c>
      <c r="K86" s="37">
        <f t="shared" ca="1" si="13"/>
        <v>0</v>
      </c>
      <c r="L86" s="37">
        <f t="shared" ca="1" si="13"/>
        <v>0</v>
      </c>
      <c r="M86" s="37">
        <f t="shared" ca="1" si="13"/>
        <v>0</v>
      </c>
      <c r="N86" s="37">
        <f t="shared" ca="1" si="13"/>
        <v>0</v>
      </c>
      <c r="O86" s="37">
        <f t="shared" ca="1" si="13"/>
        <v>0</v>
      </c>
      <c r="P86" s="37">
        <f t="shared" ca="1" si="13"/>
        <v>0</v>
      </c>
      <c r="Q86" s="37">
        <f t="shared" ca="1" si="13"/>
        <v>0</v>
      </c>
      <c r="R86" s="37">
        <f t="shared" ca="1" si="13"/>
        <v>0</v>
      </c>
      <c r="S86" s="37">
        <f t="shared" ca="1" si="13"/>
        <v>0</v>
      </c>
      <c r="T86" s="37">
        <f t="shared" ca="1" si="13"/>
        <v>0</v>
      </c>
      <c r="U86" s="37">
        <f t="shared" ca="1" si="13"/>
        <v>0</v>
      </c>
      <c r="V86" s="37">
        <f t="shared" ca="1" si="13"/>
        <v>0</v>
      </c>
      <c r="W86" s="37">
        <f t="shared" ca="1" si="13"/>
        <v>0</v>
      </c>
      <c r="X86" s="9"/>
      <c r="Y86" s="9"/>
    </row>
    <row r="87" spans="1:25" ht="20.100000000000001" customHeight="1">
      <c r="A87" s="5"/>
      <c r="B87" s="5"/>
      <c r="C87" s="5"/>
      <c r="D87" s="33" t="s">
        <v>890</v>
      </c>
      <c r="E87" s="37">
        <f ca="1">E86</f>
        <v>0</v>
      </c>
      <c r="F87" s="37">
        <f t="shared" ref="F87" ca="1" si="14">E87+F86*(1-Anticipo_Financiero)</f>
        <v>0</v>
      </c>
      <c r="G87" s="37">
        <f t="shared" ref="G87" ca="1" si="15">F87+G86*(1-Anticipo_Financiero)</f>
        <v>0</v>
      </c>
      <c r="H87" s="37">
        <f t="shared" ref="H87" ca="1" si="16">G87+H86*(1-Anticipo_Financiero)</f>
        <v>0</v>
      </c>
      <c r="I87" s="37">
        <f t="shared" ref="I87" ca="1" si="17">H87+I86*(1-Anticipo_Financiero)</f>
        <v>0</v>
      </c>
      <c r="J87" s="37">
        <f t="shared" ref="J87" ca="1" si="18">I87+J86*(1-Anticipo_Financiero)</f>
        <v>0</v>
      </c>
      <c r="K87" s="37">
        <f t="shared" ref="K87" ca="1" si="19">J87+K86*(1-Anticipo_Financiero)</f>
        <v>0</v>
      </c>
      <c r="L87" s="37">
        <f t="shared" ref="L87" ca="1" si="20">K87+L86*(1-Anticipo_Financiero)</f>
        <v>0</v>
      </c>
      <c r="M87" s="37">
        <f t="shared" ref="M87" ca="1" si="21">L87+M86*(1-Anticipo_Financiero)</f>
        <v>0</v>
      </c>
      <c r="N87" s="37">
        <f t="shared" ref="N87" ca="1" si="22">M87+N86*(1-Anticipo_Financiero)</f>
        <v>0</v>
      </c>
      <c r="O87" s="37">
        <f t="shared" ref="O87" ca="1" si="23">N87+O86*(1-Anticipo_Financiero)</f>
        <v>0</v>
      </c>
      <c r="P87" s="37">
        <f t="shared" ref="P87" ca="1" si="24">O87+P86*(1-Anticipo_Financiero)</f>
        <v>0</v>
      </c>
      <c r="Q87" s="37">
        <f t="shared" ref="Q87:W87" ca="1" si="25">P87+Q86*(1-Anticipo_Financiero)</f>
        <v>0</v>
      </c>
      <c r="R87" s="37">
        <f t="shared" ca="1" si="25"/>
        <v>0</v>
      </c>
      <c r="S87" s="37">
        <f t="shared" ca="1" si="25"/>
        <v>0</v>
      </c>
      <c r="T87" s="37">
        <f t="shared" ca="1" si="25"/>
        <v>0</v>
      </c>
      <c r="U87" s="37">
        <f t="shared" ca="1" si="25"/>
        <v>0</v>
      </c>
      <c r="V87" s="37">
        <f t="shared" ca="1" si="25"/>
        <v>0</v>
      </c>
      <c r="W87" s="37">
        <f t="shared" ca="1" si="25"/>
        <v>0</v>
      </c>
      <c r="X87" s="9"/>
    </row>
    <row r="88" spans="1:25" ht="20.100000000000001" customHeight="1">
      <c r="E88" s="25">
        <v>0</v>
      </c>
    </row>
    <row r="89" spans="1:25" ht="20.100000000000001" customHeight="1">
      <c r="E89" s="25">
        <v>0</v>
      </c>
    </row>
  </sheetData>
  <mergeCells count="6">
    <mergeCell ref="A8:D8"/>
    <mergeCell ref="Y10:Y11"/>
    <mergeCell ref="A10:A11"/>
    <mergeCell ref="B10:C11"/>
    <mergeCell ref="D10:D11"/>
    <mergeCell ref="F10:W10"/>
  </mergeCells>
  <conditionalFormatting sqref="A81 B13:B80">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C13:C80">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80">
    <cfRule type="expression" dxfId="68" priority="1" stopIfTrue="1">
      <formula>#REF!&gt;0</formula>
    </cfRule>
    <cfRule type="expression" dxfId="67" priority="2" stopIfTrue="1">
      <formula>#REF!&gt;0</formula>
    </cfRule>
    <cfRule type="expression" dxfId="66" priority="3" stopIfTrue="1">
      <formula>#REF!&gt;0</formula>
    </cfRule>
  </conditionalFormatting>
  <dataValidations count="1">
    <dataValidation type="whole" operator="lessThan" allowBlank="1" showInputMessage="1" showErrorMessage="1" errorTitle="No ingresar" sqref="I14:I16 I18:I30">
      <formula1>0</formula1>
      <formula2>0</formula2>
    </dataValidation>
  </dataValidations>
  <pageMargins left="0.78740157480314965" right="0.78740157480314965" top="1.3779527559055118" bottom="0.78740157480314965" header="0.78740157480314965" footer="0.39370078740157483"/>
  <pageSetup paperSize="9" scale="41" fitToWidth="0" fitToHeight="0" pageOrder="overThenDown" orientation="landscape" r:id="rId1"/>
  <headerFooter>
    <oddHeader>&amp;L&amp;G</oddHeader>
  </headerFooter>
  <rowBreaks count="1" manualBreakCount="1">
    <brk id="45" max="24"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82" zoomScale="90" zoomScaleNormal="90" workbookViewId="0">
      <selection activeCell="D21" sqref="D21"/>
    </sheetView>
  </sheetViews>
  <sheetFormatPr baseColWidth="10" defaultColWidth="11.42578125" defaultRowHeight="12"/>
  <cols>
    <col min="1" max="1" width="46.42578125" style="60" customWidth="1"/>
    <col min="2" max="2" width="7.28515625" style="62" customWidth="1"/>
    <col min="3" max="3" width="15.140625" style="60" bestFit="1" customWidth="1"/>
    <col min="4" max="4" width="19" style="60" customWidth="1"/>
    <col min="5" max="5" width="46.5703125" style="60" customWidth="1"/>
    <col min="6" max="16384" width="11.42578125" style="60"/>
  </cols>
  <sheetData>
    <row r="1" spans="1:5">
      <c r="A1" s="59" t="s">
        <v>906</v>
      </c>
    </row>
    <row r="3" spans="1:5" s="62" customFormat="1">
      <c r="A3" s="61" t="s">
        <v>943</v>
      </c>
      <c r="B3" s="61" t="s">
        <v>1</v>
      </c>
      <c r="C3" s="61" t="s">
        <v>905</v>
      </c>
      <c r="D3" s="61" t="s">
        <v>899</v>
      </c>
      <c r="E3" s="61" t="s">
        <v>900</v>
      </c>
    </row>
    <row r="4" spans="1:5">
      <c r="A4" s="63" t="s">
        <v>714</v>
      </c>
      <c r="B4" s="61" t="s">
        <v>1466</v>
      </c>
      <c r="C4" s="64">
        <v>1</v>
      </c>
      <c r="D4" s="63" t="s">
        <v>904</v>
      </c>
      <c r="E4" s="63" t="str">
        <f t="shared" ref="E4:E68" si="0">IFERROR(VLOOKUP(D4,T_Indices,5,FALSE),"")</f>
        <v>Oficial Especializado</v>
      </c>
    </row>
    <row r="5" spans="1:5">
      <c r="A5" s="63" t="s">
        <v>902</v>
      </c>
      <c r="B5" s="61" t="s">
        <v>1466</v>
      </c>
      <c r="C5" s="64"/>
      <c r="D5" s="63" t="s">
        <v>903</v>
      </c>
      <c r="E5" s="63" t="str">
        <f t="shared" si="0"/>
        <v xml:space="preserve">Oficial </v>
      </c>
    </row>
    <row r="6" spans="1:5">
      <c r="A6" s="63" t="s">
        <v>1012</v>
      </c>
      <c r="B6" s="61" t="s">
        <v>1466</v>
      </c>
      <c r="C6" s="64"/>
      <c r="D6" s="63" t="s">
        <v>901</v>
      </c>
      <c r="E6" s="63" t="str">
        <f t="shared" si="0"/>
        <v>Ayudante</v>
      </c>
    </row>
    <row r="7" spans="1:5">
      <c r="A7" s="63" t="s">
        <v>716</v>
      </c>
      <c r="B7" s="61" t="s">
        <v>1466</v>
      </c>
      <c r="C7" s="64"/>
      <c r="D7" s="63" t="s">
        <v>901</v>
      </c>
      <c r="E7" s="63" t="str">
        <f t="shared" si="0"/>
        <v>Ayudante</v>
      </c>
    </row>
    <row r="8" spans="1:5">
      <c r="A8" s="63" t="s">
        <v>327</v>
      </c>
      <c r="B8" s="61" t="s">
        <v>1466</v>
      </c>
      <c r="C8" s="64"/>
      <c r="D8" s="63"/>
      <c r="E8" s="63" t="str">
        <f t="shared" si="0"/>
        <v/>
      </c>
    </row>
    <row r="9" spans="1:5">
      <c r="A9" s="63"/>
      <c r="B9" s="61"/>
      <c r="C9" s="64"/>
      <c r="D9" s="63"/>
      <c r="E9" s="63" t="str">
        <f t="shared" si="0"/>
        <v/>
      </c>
    </row>
    <row r="10" spans="1:5">
      <c r="A10" s="63"/>
      <c r="B10" s="61"/>
      <c r="C10" s="64"/>
      <c r="D10" s="63"/>
      <c r="E10" s="63" t="str">
        <f t="shared" si="0"/>
        <v/>
      </c>
    </row>
    <row r="11" spans="1:5">
      <c r="A11" s="63"/>
      <c r="B11" s="61"/>
      <c r="C11" s="64"/>
      <c r="D11" s="63"/>
      <c r="E11" s="63" t="str">
        <f t="shared" si="0"/>
        <v/>
      </c>
    </row>
    <row r="12" spans="1:5">
      <c r="A12" s="63"/>
      <c r="B12" s="61"/>
      <c r="C12" s="64"/>
      <c r="D12" s="63"/>
      <c r="E12" s="63" t="str">
        <f t="shared" si="0"/>
        <v/>
      </c>
    </row>
    <row r="13" spans="1:5">
      <c r="A13" s="63"/>
      <c r="B13" s="61"/>
      <c r="C13" s="64"/>
      <c r="D13" s="63"/>
      <c r="E13" s="63" t="str">
        <f t="shared" si="0"/>
        <v/>
      </c>
    </row>
    <row r="14" spans="1:5">
      <c r="A14" s="63" t="s">
        <v>1693</v>
      </c>
      <c r="B14" s="61" t="s">
        <v>1692</v>
      </c>
      <c r="C14" s="360">
        <f>Equipo_Amortización+Equipo_Interés</f>
        <v>0</v>
      </c>
      <c r="D14" s="63" t="s">
        <v>1615</v>
      </c>
      <c r="E14" s="63" t="str">
        <f t="shared" si="0"/>
        <v>Equipo - Amortización de equipo</v>
      </c>
    </row>
    <row r="15" spans="1:5">
      <c r="A15" s="63" t="s">
        <v>1694</v>
      </c>
      <c r="B15" s="61" t="s">
        <v>1692</v>
      </c>
      <c r="C15" s="360">
        <f>Equipo_Amortización</f>
        <v>0</v>
      </c>
      <c r="D15" s="63" t="s">
        <v>1615</v>
      </c>
      <c r="E15" s="63" t="str">
        <f t="shared" si="0"/>
        <v>Equipo - Amortización de equipo</v>
      </c>
    </row>
    <row r="16" spans="1:5">
      <c r="A16" s="63" t="s">
        <v>1695</v>
      </c>
      <c r="B16" s="61" t="s">
        <v>1692</v>
      </c>
      <c r="C16" s="360">
        <f>Equipo_Interés</f>
        <v>0</v>
      </c>
      <c r="D16" s="63" t="s">
        <v>1615</v>
      </c>
      <c r="E16" s="63" t="str">
        <f t="shared" si="0"/>
        <v>Equipo - Amortización de equipo</v>
      </c>
    </row>
    <row r="17" spans="1:5">
      <c r="A17" s="63" t="s">
        <v>1696</v>
      </c>
      <c r="B17" s="61" t="s">
        <v>1692</v>
      </c>
      <c r="C17" s="360">
        <f>Equipo_Reparaciones_Repuestos</f>
        <v>0</v>
      </c>
      <c r="D17" s="63" t="s">
        <v>1621</v>
      </c>
      <c r="E17" s="63" t="str">
        <f t="shared" si="0"/>
        <v xml:space="preserve">Accesorios y repuestos para máquinas de uso especial                 </v>
      </c>
    </row>
    <row r="18" spans="1:5">
      <c r="A18" s="63" t="s">
        <v>1697</v>
      </c>
      <c r="B18" s="61" t="s">
        <v>1692</v>
      </c>
      <c r="C18" s="64">
        <f>Equipo_Combustible+Equipo_Lubricantes</f>
        <v>0</v>
      </c>
      <c r="D18" s="63" t="s">
        <v>1616</v>
      </c>
      <c r="E18" s="63" t="str">
        <f t="shared" si="0"/>
        <v xml:space="preserve">Gas oil                                                                </v>
      </c>
    </row>
    <row r="19" spans="1:5">
      <c r="A19" s="63" t="s">
        <v>1698</v>
      </c>
      <c r="B19" s="61" t="s">
        <v>1692</v>
      </c>
      <c r="C19" s="64">
        <f>Equipo_Combustible</f>
        <v>0</v>
      </c>
      <c r="D19" s="63" t="s">
        <v>1616</v>
      </c>
      <c r="E19" s="63" t="str">
        <f t="shared" si="0"/>
        <v xml:space="preserve">Gas oil                                                                </v>
      </c>
    </row>
    <row r="20" spans="1:5">
      <c r="A20" s="63" t="s">
        <v>1699</v>
      </c>
      <c r="B20" s="61" t="s">
        <v>1692</v>
      </c>
      <c r="C20" s="64">
        <f>Equipo_Lubricantes</f>
        <v>0</v>
      </c>
      <c r="D20" s="63" t="s">
        <v>1618</v>
      </c>
      <c r="E20" s="63" t="str">
        <f t="shared" si="0"/>
        <v xml:space="preserve">Aceites lubricantes                                                    </v>
      </c>
    </row>
    <row r="21" spans="1:5">
      <c r="A21" s="63" t="s">
        <v>1849</v>
      </c>
      <c r="B21" s="61" t="s">
        <v>1692</v>
      </c>
      <c r="C21" s="360">
        <f>Equipo_Amortización+Equipo_Interés</f>
        <v>0</v>
      </c>
      <c r="D21" s="63" t="s">
        <v>1615</v>
      </c>
      <c r="E21" s="63" t="str">
        <f t="shared" ref="E21" si="1">IFERROR(VLOOKUP(D21,T_Indices,5,FALSE),"")</f>
        <v>Equipo - Amortización de equipo</v>
      </c>
    </row>
    <row r="22" spans="1:5">
      <c r="A22" s="63" t="s">
        <v>1848</v>
      </c>
      <c r="B22" s="61" t="s">
        <v>1692</v>
      </c>
      <c r="C22" s="360">
        <f>Camioneta_Amortización</f>
        <v>0</v>
      </c>
      <c r="D22" s="63" t="s">
        <v>1615</v>
      </c>
      <c r="E22" s="63" t="str">
        <f t="shared" si="0"/>
        <v>Equipo - Amortización de equipo</v>
      </c>
    </row>
    <row r="23" spans="1:5">
      <c r="A23" s="63" t="s">
        <v>1700</v>
      </c>
      <c r="B23" s="61" t="s">
        <v>1692</v>
      </c>
      <c r="C23" s="360">
        <f>Camioneta_Interés</f>
        <v>0</v>
      </c>
      <c r="D23" s="63" t="s">
        <v>1615</v>
      </c>
      <c r="E23" s="63" t="str">
        <f t="shared" si="0"/>
        <v>Equipo - Amortización de equipo</v>
      </c>
    </row>
    <row r="24" spans="1:5">
      <c r="A24" s="63" t="s">
        <v>1701</v>
      </c>
      <c r="B24" s="61" t="s">
        <v>1692</v>
      </c>
      <c r="C24" s="360">
        <f>Camioneta_Seguro</f>
        <v>0</v>
      </c>
      <c r="D24" s="63" t="s">
        <v>1615</v>
      </c>
      <c r="E24" s="63" t="str">
        <f t="shared" si="0"/>
        <v>Equipo - Amortización de equipo</v>
      </c>
    </row>
    <row r="25" spans="1:5">
      <c r="A25" s="63" t="s">
        <v>1702</v>
      </c>
      <c r="B25" s="61" t="s">
        <v>1692</v>
      </c>
      <c r="C25" s="360">
        <f>Camioneta_Patente</f>
        <v>0</v>
      </c>
      <c r="D25" s="63" t="s">
        <v>1615</v>
      </c>
      <c r="E25" s="63" t="str">
        <f t="shared" si="0"/>
        <v>Equipo - Amortización de equipo</v>
      </c>
    </row>
    <row r="26" spans="1:5">
      <c r="A26" s="63" t="s">
        <v>1703</v>
      </c>
      <c r="B26" s="61" t="s">
        <v>1692</v>
      </c>
      <c r="C26" s="360">
        <f>Camioneta_Combustibles_Lubricantes</f>
        <v>0</v>
      </c>
      <c r="D26" s="63" t="s">
        <v>1616</v>
      </c>
      <c r="E26" s="63" t="str">
        <f t="shared" si="0"/>
        <v xml:space="preserve">Gas oil                                                                </v>
      </c>
    </row>
    <row r="27" spans="1:5">
      <c r="A27" s="63" t="s">
        <v>1704</v>
      </c>
      <c r="B27" s="61" t="s">
        <v>1692</v>
      </c>
      <c r="C27" s="360">
        <f>Camioneta_Cámara_Cubiertas</f>
        <v>0</v>
      </c>
      <c r="D27" s="63" t="s">
        <v>1705</v>
      </c>
      <c r="E27" s="63" t="str">
        <f t="shared" si="0"/>
        <v xml:space="preserve">Cubiertas radiales                                                     </v>
      </c>
    </row>
    <row r="28" spans="1:5">
      <c r="A28" s="63"/>
      <c r="B28" s="61"/>
      <c r="C28" s="64"/>
      <c r="D28" s="63"/>
      <c r="E28" s="63" t="str">
        <f t="shared" si="0"/>
        <v/>
      </c>
    </row>
    <row r="29" spans="1:5">
      <c r="A29" s="63"/>
      <c r="B29" s="61"/>
      <c r="C29" s="64"/>
      <c r="D29" s="63"/>
      <c r="E29" s="63" t="str">
        <f t="shared" si="0"/>
        <v/>
      </c>
    </row>
    <row r="30" spans="1:5">
      <c r="A30" s="63" t="s">
        <v>914</v>
      </c>
      <c r="B30" s="61"/>
      <c r="C30" s="64"/>
      <c r="D30" s="63" t="s">
        <v>910</v>
      </c>
      <c r="E30" s="63" t="str">
        <f t="shared" si="0"/>
        <v>Camión volcador</v>
      </c>
    </row>
    <row r="31" spans="1:5">
      <c r="A31" s="63" t="s">
        <v>908</v>
      </c>
      <c r="B31" s="61"/>
      <c r="C31" s="64"/>
      <c r="D31" s="63" t="s">
        <v>910</v>
      </c>
      <c r="E31" s="63" t="str">
        <f t="shared" si="0"/>
        <v>Camión volcador</v>
      </c>
    </row>
    <row r="32" spans="1:5">
      <c r="A32" s="63" t="s">
        <v>913</v>
      </c>
      <c r="B32" s="61"/>
      <c r="C32" s="64"/>
      <c r="D32" s="63" t="s">
        <v>910</v>
      </c>
      <c r="E32" s="63" t="str">
        <f t="shared" si="0"/>
        <v>Camión volcador</v>
      </c>
    </row>
    <row r="33" spans="1:5">
      <c r="A33" s="63" t="s">
        <v>922</v>
      </c>
      <c r="B33" s="61"/>
      <c r="C33" s="64"/>
      <c r="D33" s="63" t="s">
        <v>923</v>
      </c>
      <c r="E33" s="63" t="str">
        <f t="shared" si="0"/>
        <v>Pluma 300 Kg.</v>
      </c>
    </row>
    <row r="34" spans="1:5">
      <c r="A34" s="63" t="s">
        <v>916</v>
      </c>
      <c r="B34" s="61"/>
      <c r="C34" s="64"/>
      <c r="D34" s="63" t="s">
        <v>917</v>
      </c>
      <c r="E34" s="63" t="str">
        <f t="shared" si="0"/>
        <v xml:space="preserve">Herramientas de mano                                                   </v>
      </c>
    </row>
    <row r="35" spans="1:5">
      <c r="A35" s="63" t="s">
        <v>1009</v>
      </c>
      <c r="B35" s="61"/>
      <c r="C35" s="64"/>
      <c r="D35" s="63" t="s">
        <v>1615</v>
      </c>
      <c r="E35" s="63" t="str">
        <f t="shared" si="0"/>
        <v>Equipo - Amortización de equipo</v>
      </c>
    </row>
    <row r="36" spans="1:5" ht="12.75">
      <c r="A36" s="63" t="s">
        <v>791</v>
      </c>
      <c r="B36" s="61"/>
      <c r="C36" s="310"/>
      <c r="D36" s="63" t="s">
        <v>1619</v>
      </c>
      <c r="E36" s="63" t="str">
        <f t="shared" si="0"/>
        <v xml:space="preserve">Máquinas viales autopropulsadas                                        </v>
      </c>
    </row>
    <row r="37" spans="1:5" ht="12.75">
      <c r="A37" s="63" t="s">
        <v>792</v>
      </c>
      <c r="B37" s="61"/>
      <c r="C37" s="310"/>
      <c r="D37" s="63" t="s">
        <v>1620</v>
      </c>
      <c r="E37" s="63" t="str">
        <f t="shared" si="0"/>
        <v xml:space="preserve">Máquinas viales no autopropulsadas                                     </v>
      </c>
    </row>
    <row r="38" spans="1:5">
      <c r="A38" s="63" t="s">
        <v>911</v>
      </c>
      <c r="B38" s="61"/>
      <c r="C38" s="64"/>
      <c r="D38" s="63" t="s">
        <v>912</v>
      </c>
      <c r="E38" s="63" t="str">
        <f t="shared" si="0"/>
        <v>Taladro percutor</v>
      </c>
    </row>
    <row r="39" spans="1:5">
      <c r="A39" s="63" t="s">
        <v>1010</v>
      </c>
      <c r="B39" s="61"/>
      <c r="C39" s="64"/>
      <c r="D39" s="63" t="s">
        <v>1621</v>
      </c>
      <c r="E39" s="63" t="str">
        <f t="shared" si="0"/>
        <v xml:space="preserve">Accesorios y repuestos para máquinas de uso especial                 </v>
      </c>
    </row>
    <row r="40" spans="1:5">
      <c r="A40" s="63" t="s">
        <v>362</v>
      </c>
      <c r="B40" s="61"/>
      <c r="C40" s="64"/>
      <c r="D40" s="63" t="s">
        <v>909</v>
      </c>
      <c r="E40" s="63" t="str">
        <f t="shared" si="0"/>
        <v>Retroexcavadora</v>
      </c>
    </row>
    <row r="41" spans="1:5">
      <c r="A41" s="63"/>
      <c r="B41" s="61"/>
      <c r="C41" s="64"/>
      <c r="D41" s="63"/>
      <c r="E41" s="63" t="str">
        <f t="shared" si="0"/>
        <v/>
      </c>
    </row>
    <row r="42" spans="1:5">
      <c r="A42" s="63" t="s">
        <v>1010</v>
      </c>
      <c r="B42" s="61"/>
      <c r="C42" s="64"/>
      <c r="D42" s="144"/>
      <c r="E42" s="63" t="str">
        <f t="shared" si="0"/>
        <v/>
      </c>
    </row>
    <row r="43" spans="1:5">
      <c r="A43" s="63" t="s">
        <v>869</v>
      </c>
      <c r="B43" s="61"/>
      <c r="C43" s="64"/>
      <c r="D43" s="144"/>
      <c r="E43" s="63" t="str">
        <f t="shared" si="0"/>
        <v/>
      </c>
    </row>
    <row r="44" spans="1:5">
      <c r="A44" s="63" t="s">
        <v>1011</v>
      </c>
      <c r="B44" s="61"/>
      <c r="C44" s="64"/>
      <c r="D44" s="144"/>
      <c r="E44" s="63" t="str">
        <f t="shared" si="0"/>
        <v/>
      </c>
    </row>
    <row r="45" spans="1:5">
      <c r="A45" s="63"/>
      <c r="B45" s="61"/>
      <c r="C45" s="64"/>
      <c r="D45" s="63"/>
      <c r="E45" s="63" t="str">
        <f t="shared" si="0"/>
        <v/>
      </c>
    </row>
    <row r="46" spans="1:5" ht="12.75">
      <c r="A46" s="63" t="s">
        <v>1782</v>
      </c>
      <c r="B46" s="61" t="s">
        <v>1866</v>
      </c>
      <c r="C46" s="310">
        <v>10</v>
      </c>
      <c r="D46" s="63" t="s">
        <v>920</v>
      </c>
      <c r="E46" s="63" t="str">
        <f t="shared" si="0"/>
        <v>Acero aletado conformado, en barra</v>
      </c>
    </row>
    <row r="47" spans="1:5" ht="12.75">
      <c r="A47" s="63" t="s">
        <v>1783</v>
      </c>
      <c r="B47" s="61"/>
      <c r="C47" s="310"/>
      <c r="D47" s="63" t="s">
        <v>920</v>
      </c>
      <c r="E47" s="63" t="str">
        <f t="shared" si="0"/>
        <v>Acero aletado conformado, en barra</v>
      </c>
    </row>
    <row r="48" spans="1:5" ht="12.75">
      <c r="A48" s="63" t="s">
        <v>730</v>
      </c>
      <c r="B48" s="311"/>
      <c r="C48" s="310"/>
      <c r="D48" s="63" t="s">
        <v>929</v>
      </c>
      <c r="E48" s="63" t="str">
        <f t="shared" si="0"/>
        <v xml:space="preserve">Perfiles de hierro                                                     </v>
      </c>
    </row>
    <row r="49" spans="1:5" ht="12.75">
      <c r="A49" s="63" t="s">
        <v>1784</v>
      </c>
      <c r="B49" s="311"/>
      <c r="C49" s="310"/>
      <c r="D49" s="63" t="s">
        <v>920</v>
      </c>
      <c r="E49" s="63" t="str">
        <f t="shared" si="0"/>
        <v>Acero aletado conformado, en barra</v>
      </c>
    </row>
    <row r="50" spans="1:5" ht="12.75">
      <c r="A50" s="63" t="s">
        <v>1785</v>
      </c>
      <c r="B50" s="309"/>
      <c r="C50" s="310"/>
      <c r="D50" s="63" t="s">
        <v>1622</v>
      </c>
      <c r="E50" s="63" t="str">
        <f t="shared" si="0"/>
        <v>Productos químicos</v>
      </c>
    </row>
    <row r="51" spans="1:5" ht="12.75">
      <c r="A51" s="63" t="s">
        <v>1786</v>
      </c>
      <c r="B51" s="311"/>
      <c r="C51" s="310"/>
      <c r="D51" s="63" t="s">
        <v>1623</v>
      </c>
      <c r="E51" s="63" t="str">
        <f t="shared" si="0"/>
        <v xml:space="preserve">Tejidos de alambre                                                     </v>
      </c>
    </row>
    <row r="52" spans="1:5" ht="12.75">
      <c r="A52" s="63" t="s">
        <v>1787</v>
      </c>
      <c r="B52" s="311"/>
      <c r="C52" s="310"/>
      <c r="D52" s="63" t="s">
        <v>919</v>
      </c>
      <c r="E52" s="63" t="str">
        <f t="shared" si="0"/>
        <v xml:space="preserve">Alambres de acero                                                      </v>
      </c>
    </row>
    <row r="53" spans="1:5" ht="12.75">
      <c r="A53" s="63" t="s">
        <v>745</v>
      </c>
      <c r="B53" s="311"/>
      <c r="C53" s="310"/>
      <c r="D53" s="63" t="s">
        <v>1624</v>
      </c>
      <c r="E53" s="63" t="str">
        <f t="shared" si="0"/>
        <v xml:space="preserve">Lingotes y perfiles de aluminio y sus aleaciones                       </v>
      </c>
    </row>
    <row r="54" spans="1:5" ht="12.75">
      <c r="A54" s="63" t="s">
        <v>1788</v>
      </c>
      <c r="B54" s="309"/>
      <c r="C54" s="310"/>
      <c r="D54" s="63" t="s">
        <v>1625</v>
      </c>
      <c r="E54" s="63" t="str">
        <f t="shared" si="0"/>
        <v xml:space="preserve">Cauchos sintéticos                                                     </v>
      </c>
    </row>
    <row r="55" spans="1:5">
      <c r="A55" s="63" t="s">
        <v>1626</v>
      </c>
      <c r="B55" s="61"/>
      <c r="C55" s="64"/>
      <c r="D55" s="63" t="s">
        <v>926</v>
      </c>
      <c r="E55" s="63" t="str">
        <f t="shared" si="0"/>
        <v>Arena clasificada lavada</v>
      </c>
    </row>
    <row r="56" spans="1:5" ht="12.75">
      <c r="A56" s="63" t="s">
        <v>1627</v>
      </c>
      <c r="B56" s="312"/>
      <c r="C56" s="313"/>
      <c r="D56" s="63" t="s">
        <v>926</v>
      </c>
      <c r="E56" s="63" t="str">
        <f t="shared" si="0"/>
        <v>Arena clasificada lavada</v>
      </c>
    </row>
    <row r="57" spans="1:5" ht="12.75">
      <c r="A57" s="63" t="s">
        <v>1628</v>
      </c>
      <c r="B57" s="312"/>
      <c r="C57" s="313"/>
      <c r="D57" s="63" t="s">
        <v>926</v>
      </c>
      <c r="E57" s="63" t="str">
        <f t="shared" si="0"/>
        <v>Arena clasificada lavada</v>
      </c>
    </row>
    <row r="58" spans="1:5" ht="12.75">
      <c r="A58" s="63" t="s">
        <v>1789</v>
      </c>
      <c r="B58" s="312"/>
      <c r="C58" s="313"/>
      <c r="D58" s="63" t="s">
        <v>1629</v>
      </c>
      <c r="E58" s="63" t="str">
        <f t="shared" si="0"/>
        <v>Asfaliq EM1</v>
      </c>
    </row>
    <row r="59" spans="1:5" ht="12.75">
      <c r="A59" s="63" t="s">
        <v>1790</v>
      </c>
      <c r="B59" s="311"/>
      <c r="C59" s="310"/>
      <c r="D59" s="63" t="s">
        <v>1630</v>
      </c>
      <c r="E59" s="63" t="str">
        <f t="shared" si="0"/>
        <v xml:space="preserve">Balastos                                                               </v>
      </c>
    </row>
    <row r="60" spans="1:5">
      <c r="A60" s="63" t="s">
        <v>915</v>
      </c>
      <c r="B60" s="61"/>
      <c r="C60" s="64"/>
      <c r="D60" s="63" t="s">
        <v>1631</v>
      </c>
      <c r="E60" s="63" t="str">
        <f t="shared" si="0"/>
        <v>Cal hidráulica hidratada</v>
      </c>
    </row>
    <row r="61" spans="1:5" ht="12.75">
      <c r="A61" s="63" t="s">
        <v>1632</v>
      </c>
      <c r="B61" s="311"/>
      <c r="C61" s="310"/>
      <c r="D61" s="63" t="s">
        <v>930</v>
      </c>
      <c r="E61" s="63" t="str">
        <f t="shared" si="0"/>
        <v xml:space="preserve">Chapas metálicas                                                       </v>
      </c>
    </row>
    <row r="62" spans="1:5" ht="12.75">
      <c r="A62" s="63" t="s">
        <v>1791</v>
      </c>
      <c r="B62" s="311"/>
      <c r="C62" s="310"/>
      <c r="D62" s="63" t="s">
        <v>928</v>
      </c>
      <c r="E62" s="63" t="str">
        <f t="shared" si="0"/>
        <v>Caño de hierro galvanizado</v>
      </c>
    </row>
    <row r="63" spans="1:5" ht="12.75">
      <c r="A63" s="63" t="s">
        <v>1792</v>
      </c>
      <c r="B63" s="311"/>
      <c r="C63" s="310"/>
      <c r="D63" s="63" t="s">
        <v>1633</v>
      </c>
      <c r="E63" s="63" t="str">
        <f t="shared" si="0"/>
        <v xml:space="preserve">Hormigón                                                               </v>
      </c>
    </row>
    <row r="64" spans="1:5">
      <c r="A64" s="63" t="s">
        <v>304</v>
      </c>
      <c r="B64" s="61"/>
      <c r="C64" s="64"/>
      <c r="D64" s="63" t="s">
        <v>927</v>
      </c>
      <c r="E64" s="63" t="str">
        <f t="shared" si="0"/>
        <v>Cemento portland normal, en bolsa</v>
      </c>
    </row>
    <row r="65" spans="1:5">
      <c r="A65" s="63" t="s">
        <v>1634</v>
      </c>
      <c r="B65" s="61" t="s">
        <v>889</v>
      </c>
      <c r="C65" s="64"/>
      <c r="D65" s="63" t="s">
        <v>1635</v>
      </c>
      <c r="E65" s="63" t="str">
        <f t="shared" si="0"/>
        <v>Asfaltos, combustibles y lubricantes</v>
      </c>
    </row>
    <row r="66" spans="1:5" ht="12.75">
      <c r="A66" s="63" t="s">
        <v>1793</v>
      </c>
      <c r="B66" s="309"/>
      <c r="C66" s="310"/>
      <c r="D66" s="63" t="s">
        <v>1636</v>
      </c>
      <c r="E66" s="63" t="str">
        <f t="shared" si="0"/>
        <v xml:space="preserve">Clavos                                                                 </v>
      </c>
    </row>
    <row r="67" spans="1:5" ht="12.75">
      <c r="A67" s="63" t="s">
        <v>1794</v>
      </c>
      <c r="B67" s="311"/>
      <c r="C67" s="310"/>
      <c r="D67" s="63" t="s">
        <v>929</v>
      </c>
      <c r="E67" s="63" t="str">
        <f t="shared" si="0"/>
        <v xml:space="preserve">Perfiles de hierro                                                     </v>
      </c>
    </row>
    <row r="68" spans="1:5" ht="12.75">
      <c r="A68" s="63" t="s">
        <v>1795</v>
      </c>
      <c r="B68" s="311"/>
      <c r="C68" s="310"/>
      <c r="D68" s="63" t="s">
        <v>1637</v>
      </c>
      <c r="E68" s="63" t="str">
        <f t="shared" si="0"/>
        <v xml:space="preserve">Conductores eléctricos                                                 </v>
      </c>
    </row>
    <row r="69" spans="1:5">
      <c r="A69" s="63" t="s">
        <v>1638</v>
      </c>
      <c r="B69" s="314"/>
      <c r="C69" s="315"/>
      <c r="D69" s="63" t="s">
        <v>1639</v>
      </c>
      <c r="E69" s="63" t="str">
        <f t="shared" ref="E69:E132" si="2">IFERROR(VLOOKUP(D69,T_Indices,5,FALSE),"")</f>
        <v>Agua para construcción</v>
      </c>
    </row>
    <row r="70" spans="1:5">
      <c r="A70" s="63" t="s">
        <v>1638</v>
      </c>
      <c r="B70" s="61"/>
      <c r="C70" s="64"/>
      <c r="D70" s="63" t="s">
        <v>1639</v>
      </c>
      <c r="E70" s="63" t="str">
        <f t="shared" si="2"/>
        <v>Agua para construcción</v>
      </c>
    </row>
    <row r="71" spans="1:5">
      <c r="A71" s="63" t="s">
        <v>778</v>
      </c>
      <c r="B71" s="314"/>
      <c r="C71" s="315"/>
      <c r="D71" s="63" t="s">
        <v>1640</v>
      </c>
      <c r="E71" s="63" t="str">
        <f t="shared" si="2"/>
        <v xml:space="preserve">Cubiertas convencionales                                               </v>
      </c>
    </row>
    <row r="72" spans="1:5">
      <c r="A72" s="63" t="s">
        <v>1641</v>
      </c>
      <c r="B72" s="61"/>
      <c r="C72" s="64"/>
      <c r="D72" s="63" t="s">
        <v>1635</v>
      </c>
      <c r="E72" s="63" t="str">
        <f t="shared" si="2"/>
        <v>Asfaltos, combustibles y lubricantes</v>
      </c>
    </row>
    <row r="73" spans="1:5">
      <c r="A73" s="63" t="s">
        <v>1642</v>
      </c>
      <c r="B73" s="61"/>
      <c r="C73" s="64"/>
      <c r="D73" s="63" t="s">
        <v>1635</v>
      </c>
      <c r="E73" s="63" t="str">
        <f t="shared" si="2"/>
        <v>Asfaltos, combustibles y lubricantes</v>
      </c>
    </row>
    <row r="74" spans="1:5" ht="12.75">
      <c r="A74" s="63" t="s">
        <v>1796</v>
      </c>
      <c r="B74" s="312"/>
      <c r="C74" s="313"/>
      <c r="D74" s="63" t="s">
        <v>1643</v>
      </c>
      <c r="E74" s="63" t="str">
        <f t="shared" si="2"/>
        <v>Emulsion EBCR</v>
      </c>
    </row>
    <row r="75" spans="1:5" ht="12.75">
      <c r="A75" s="63" t="s">
        <v>921</v>
      </c>
      <c r="B75" s="311"/>
      <c r="C75" s="310"/>
      <c r="D75" s="63" t="s">
        <v>1644</v>
      </c>
      <c r="E75" s="63" t="str">
        <f t="shared" si="2"/>
        <v xml:space="preserve">Esmaltes sintéticos                                                    </v>
      </c>
    </row>
    <row r="76" spans="1:5">
      <c r="A76" s="63" t="s">
        <v>1645</v>
      </c>
      <c r="B76" s="61" t="s">
        <v>889</v>
      </c>
      <c r="C76" s="64"/>
      <c r="D76" s="63" t="s">
        <v>1646</v>
      </c>
      <c r="E76" s="63" t="str">
        <f t="shared" si="2"/>
        <v xml:space="preserve">Cales                                                                  </v>
      </c>
    </row>
    <row r="77" spans="1:5">
      <c r="A77" s="63" t="s">
        <v>1647</v>
      </c>
      <c r="B77" s="61" t="s">
        <v>889</v>
      </c>
      <c r="C77" s="64"/>
      <c r="D77" s="63" t="s">
        <v>1648</v>
      </c>
      <c r="E77" s="63" t="str">
        <f t="shared" si="2"/>
        <v xml:space="preserve">Fuel oil                                                               </v>
      </c>
    </row>
    <row r="78" spans="1:5" ht="12.75">
      <c r="A78" s="63" t="s">
        <v>1797</v>
      </c>
      <c r="B78" s="311"/>
      <c r="C78" s="310"/>
      <c r="D78" s="63" t="s">
        <v>1616</v>
      </c>
      <c r="E78" s="63" t="str">
        <f t="shared" si="2"/>
        <v xml:space="preserve">Gas oil                                                                </v>
      </c>
    </row>
    <row r="79" spans="1:5" ht="12.75">
      <c r="A79" s="63" t="s">
        <v>1798</v>
      </c>
      <c r="B79" s="309"/>
      <c r="C79" s="310"/>
      <c r="D79" s="63" t="s">
        <v>1622</v>
      </c>
      <c r="E79" s="63" t="str">
        <f t="shared" si="2"/>
        <v>Productos químicos</v>
      </c>
    </row>
    <row r="80" spans="1:5" ht="12.75">
      <c r="A80" s="63" t="s">
        <v>1799</v>
      </c>
      <c r="B80" s="309"/>
      <c r="C80" s="310"/>
      <c r="D80" s="63" t="s">
        <v>1622</v>
      </c>
      <c r="E80" s="63" t="str">
        <f t="shared" si="2"/>
        <v>Productos químicos</v>
      </c>
    </row>
    <row r="81" spans="1:5">
      <c r="A81" s="63" t="s">
        <v>1649</v>
      </c>
      <c r="B81" s="61"/>
      <c r="C81" s="63"/>
      <c r="D81" s="63" t="s">
        <v>920</v>
      </c>
      <c r="E81" s="63" t="str">
        <f t="shared" si="2"/>
        <v>Acero aletado conformado, en barra</v>
      </c>
    </row>
    <row r="82" spans="1:5">
      <c r="A82" s="63" t="s">
        <v>1650</v>
      </c>
      <c r="B82" s="61"/>
      <c r="C82" s="63"/>
      <c r="D82" s="63" t="s">
        <v>918</v>
      </c>
      <c r="E82" s="63" t="str">
        <f t="shared" si="2"/>
        <v>Hormigón elaborado</v>
      </c>
    </row>
    <row r="83" spans="1:5" ht="12.75">
      <c r="A83" s="63" t="s">
        <v>1651</v>
      </c>
      <c r="B83" s="312"/>
      <c r="C83" s="313"/>
      <c r="D83" s="63" t="s">
        <v>918</v>
      </c>
      <c r="E83" s="63" t="str">
        <f t="shared" si="2"/>
        <v>Hormigón elaborado</v>
      </c>
    </row>
    <row r="84" spans="1:5" ht="12.75">
      <c r="A84" s="63" t="s">
        <v>1652</v>
      </c>
      <c r="B84" s="312"/>
      <c r="C84" s="313"/>
      <c r="D84" s="63" t="s">
        <v>924</v>
      </c>
      <c r="E84" s="63" t="str">
        <f t="shared" si="2"/>
        <v>Ladrillón de 1°</v>
      </c>
    </row>
    <row r="85" spans="1:5" ht="12.75">
      <c r="A85" s="63" t="s">
        <v>1800</v>
      </c>
      <c r="B85" s="311"/>
      <c r="C85" s="310"/>
      <c r="D85" s="63" t="s">
        <v>932</v>
      </c>
      <c r="E85" s="63" t="str">
        <f t="shared" si="2"/>
        <v>Artefacto de iluminación</v>
      </c>
    </row>
    <row r="86" spans="1:5" ht="12.75">
      <c r="A86" s="63" t="s">
        <v>1801</v>
      </c>
      <c r="B86" s="311"/>
      <c r="C86" s="310"/>
      <c r="D86" s="63" t="s">
        <v>932</v>
      </c>
      <c r="E86" s="63" t="str">
        <f t="shared" si="2"/>
        <v>Artefacto de iluminación</v>
      </c>
    </row>
    <row r="87" spans="1:5" ht="12.75">
      <c r="A87" s="63" t="s">
        <v>324</v>
      </c>
      <c r="B87" s="309"/>
      <c r="C87" s="310"/>
      <c r="D87" s="63" t="s">
        <v>1653</v>
      </c>
      <c r="E87" s="63" t="str">
        <f t="shared" si="2"/>
        <v>Madera para encofrado</v>
      </c>
    </row>
    <row r="88" spans="1:5">
      <c r="A88" s="63" t="s">
        <v>1654</v>
      </c>
      <c r="B88" s="61"/>
      <c r="C88" s="64"/>
      <c r="D88" s="63" t="s">
        <v>925</v>
      </c>
      <c r="E88" s="63" t="str">
        <f t="shared" si="2"/>
        <v>Canto rodado clasificado</v>
      </c>
    </row>
    <row r="89" spans="1:5">
      <c r="A89" s="63" t="s">
        <v>1655</v>
      </c>
      <c r="B89" s="61"/>
      <c r="C89" s="64"/>
      <c r="D89" s="63" t="s">
        <v>925</v>
      </c>
      <c r="E89" s="63" t="str">
        <f t="shared" si="2"/>
        <v>Canto rodado clasificado</v>
      </c>
    </row>
    <row r="90" spans="1:5" ht="12.75">
      <c r="A90" s="63" t="s">
        <v>1656</v>
      </c>
      <c r="B90" s="309"/>
      <c r="C90" s="310"/>
      <c r="D90" s="63" t="s">
        <v>1657</v>
      </c>
      <c r="E90" s="63" t="str">
        <f t="shared" si="2"/>
        <v xml:space="preserve">Canto rodado natural </v>
      </c>
    </row>
    <row r="91" spans="1:5" ht="12.75">
      <c r="A91" s="63" t="s">
        <v>1802</v>
      </c>
      <c r="B91" s="309"/>
      <c r="C91" s="310"/>
      <c r="D91" s="63" t="s">
        <v>1622</v>
      </c>
      <c r="E91" s="63" t="str">
        <f t="shared" si="2"/>
        <v>Productos químicos</v>
      </c>
    </row>
    <row r="92" spans="1:5" ht="12.75">
      <c r="A92" s="63" t="s">
        <v>1803</v>
      </c>
      <c r="B92" s="309"/>
      <c r="C92" s="310"/>
      <c r="D92" s="63" t="s">
        <v>1622</v>
      </c>
      <c r="E92" s="63" t="str">
        <f t="shared" si="2"/>
        <v>Productos químicos</v>
      </c>
    </row>
    <row r="93" spans="1:5" ht="12.75">
      <c r="A93" s="63" t="s">
        <v>738</v>
      </c>
      <c r="B93" s="309"/>
      <c r="C93" s="310"/>
      <c r="D93" s="63" t="s">
        <v>1658</v>
      </c>
      <c r="E93" s="63" t="str">
        <f t="shared" si="2"/>
        <v xml:space="preserve">Membranas asfálticas                                                   </v>
      </c>
    </row>
    <row r="94" spans="1:5" ht="12.75">
      <c r="A94" s="63" t="s">
        <v>1659</v>
      </c>
      <c r="B94" s="312"/>
      <c r="C94" s="313"/>
      <c r="D94" s="63" t="s">
        <v>1660</v>
      </c>
      <c r="E94" s="63" t="str">
        <f t="shared" si="2"/>
        <v>Mezcla 70/30</v>
      </c>
    </row>
    <row r="95" spans="1:5" ht="12.75">
      <c r="A95" s="63" t="s">
        <v>1804</v>
      </c>
      <c r="B95" s="311"/>
      <c r="C95" s="310"/>
      <c r="D95" s="63" t="s">
        <v>1661</v>
      </c>
      <c r="E95" s="63" t="str">
        <f t="shared" si="2"/>
        <v xml:space="preserve">Naftas                                                                 </v>
      </c>
    </row>
    <row r="96" spans="1:5" ht="12.75">
      <c r="A96" s="63" t="s">
        <v>1805</v>
      </c>
      <c r="B96" s="309"/>
      <c r="C96" s="310"/>
      <c r="D96" s="63" t="s">
        <v>1622</v>
      </c>
      <c r="E96" s="63" t="str">
        <f t="shared" si="2"/>
        <v>Productos químicos</v>
      </c>
    </row>
    <row r="97" spans="1:5">
      <c r="A97" s="63" t="s">
        <v>1662</v>
      </c>
      <c r="B97" s="61"/>
      <c r="C97" s="64"/>
      <c r="D97" s="63" t="s">
        <v>926</v>
      </c>
      <c r="E97" s="63" t="str">
        <f t="shared" si="2"/>
        <v>Arena clasificada lavada</v>
      </c>
    </row>
    <row r="98" spans="1:5" ht="12.75">
      <c r="A98" s="63" t="s">
        <v>1806</v>
      </c>
      <c r="B98" s="311"/>
      <c r="C98" s="310"/>
      <c r="D98" s="63" t="s">
        <v>929</v>
      </c>
      <c r="E98" s="63" t="str">
        <f t="shared" si="2"/>
        <v xml:space="preserve">Perfiles de hierro                                                     </v>
      </c>
    </row>
    <row r="99" spans="1:5" ht="12.75">
      <c r="A99" s="63" t="s">
        <v>1807</v>
      </c>
      <c r="B99" s="309"/>
      <c r="C99" s="310"/>
      <c r="D99" s="63" t="s">
        <v>1663</v>
      </c>
      <c r="E99" s="63" t="str">
        <f t="shared" si="2"/>
        <v xml:space="preserve">Maderas aserradas                                                      </v>
      </c>
    </row>
    <row r="100" spans="1:5" ht="12.75">
      <c r="A100" s="63" t="s">
        <v>1808</v>
      </c>
      <c r="B100" s="309"/>
      <c r="C100" s="310"/>
      <c r="D100" s="63" t="s">
        <v>1622</v>
      </c>
      <c r="E100" s="63" t="str">
        <f t="shared" si="2"/>
        <v>Productos químicos</v>
      </c>
    </row>
    <row r="101" spans="1:5" ht="12.75">
      <c r="A101" s="63" t="s">
        <v>1809</v>
      </c>
      <c r="B101" s="309"/>
      <c r="C101" s="310"/>
      <c r="D101" s="63" t="s">
        <v>1622</v>
      </c>
      <c r="E101" s="63" t="str">
        <f t="shared" si="2"/>
        <v>Productos químicos</v>
      </c>
    </row>
    <row r="102" spans="1:5" ht="12.75">
      <c r="A102" s="63" t="s">
        <v>1810</v>
      </c>
      <c r="B102" s="309"/>
      <c r="C102" s="310"/>
      <c r="D102" s="63" t="s">
        <v>1622</v>
      </c>
      <c r="E102" s="63" t="str">
        <f t="shared" si="2"/>
        <v>Productos químicos</v>
      </c>
    </row>
    <row r="103" spans="1:5" ht="12.75">
      <c r="A103" s="63" t="s">
        <v>1811</v>
      </c>
      <c r="B103" s="311"/>
      <c r="C103" s="310"/>
      <c r="D103" s="63" t="s">
        <v>931</v>
      </c>
      <c r="E103" s="63" t="str">
        <f t="shared" si="2"/>
        <v xml:space="preserve">Interruptores eléctricos                                               </v>
      </c>
    </row>
    <row r="104" spans="1:5" ht="12.75">
      <c r="A104" s="63" t="s">
        <v>1812</v>
      </c>
      <c r="B104" s="309"/>
      <c r="C104" s="310"/>
      <c r="D104" s="63" t="s">
        <v>1625</v>
      </c>
      <c r="E104" s="63" t="str">
        <f t="shared" si="2"/>
        <v xml:space="preserve">Cauchos sintéticos                                                     </v>
      </c>
    </row>
    <row r="105" spans="1:5" ht="12.75">
      <c r="A105" s="63" t="s">
        <v>1813</v>
      </c>
      <c r="B105" s="311"/>
      <c r="C105" s="310"/>
      <c r="D105" s="63" t="s">
        <v>929</v>
      </c>
      <c r="E105" s="63" t="str">
        <f t="shared" si="2"/>
        <v xml:space="preserve">Perfiles de hierro                                                     </v>
      </c>
    </row>
    <row r="106" spans="1:5">
      <c r="A106" s="63" t="s">
        <v>1664</v>
      </c>
      <c r="B106" s="61"/>
      <c r="C106" s="64"/>
      <c r="D106" s="63" t="s">
        <v>926</v>
      </c>
      <c r="E106" s="63" t="str">
        <f t="shared" si="2"/>
        <v>Arena clasificada lavada</v>
      </c>
    </row>
    <row r="107" spans="1:5">
      <c r="A107" s="63"/>
      <c r="B107" s="61"/>
      <c r="C107" s="63"/>
      <c r="D107" s="63"/>
      <c r="E107" s="63" t="str">
        <f t="shared" si="2"/>
        <v/>
      </c>
    </row>
    <row r="108" spans="1:5">
      <c r="A108" s="63"/>
      <c r="B108" s="61"/>
      <c r="C108" s="64"/>
      <c r="D108" s="63"/>
      <c r="E108" s="63" t="str">
        <f t="shared" si="2"/>
        <v/>
      </c>
    </row>
    <row r="109" spans="1:5">
      <c r="A109" s="63"/>
      <c r="B109" s="61"/>
      <c r="C109" s="64"/>
      <c r="D109" s="63"/>
      <c r="E109" s="63" t="str">
        <f t="shared" si="2"/>
        <v/>
      </c>
    </row>
    <row r="110" spans="1:5">
      <c r="A110" s="63"/>
      <c r="B110" s="61"/>
      <c r="C110" s="63"/>
      <c r="D110" s="63"/>
      <c r="E110" s="63" t="str">
        <f t="shared" si="2"/>
        <v/>
      </c>
    </row>
    <row r="111" spans="1:5">
      <c r="A111" s="63"/>
      <c r="B111" s="61"/>
      <c r="C111" s="63"/>
      <c r="D111" s="63"/>
      <c r="E111" s="63" t="str">
        <f t="shared" si="2"/>
        <v/>
      </c>
    </row>
    <row r="112" spans="1:5">
      <c r="A112" s="63"/>
      <c r="B112" s="61"/>
      <c r="C112" s="63"/>
      <c r="D112" s="63"/>
      <c r="E112" s="63" t="str">
        <f t="shared" si="2"/>
        <v/>
      </c>
    </row>
    <row r="113" spans="1:5">
      <c r="A113" s="63"/>
      <c r="B113" s="61"/>
      <c r="C113" s="63"/>
      <c r="D113" s="63"/>
      <c r="E113" s="63" t="str">
        <f t="shared" si="2"/>
        <v/>
      </c>
    </row>
    <row r="114" spans="1:5">
      <c r="A114" s="63"/>
      <c r="B114" s="61"/>
      <c r="C114" s="63"/>
      <c r="D114" s="63"/>
      <c r="E114" s="63" t="str">
        <f t="shared" si="2"/>
        <v/>
      </c>
    </row>
    <row r="115" spans="1:5">
      <c r="A115" s="63"/>
      <c r="B115" s="61"/>
      <c r="C115" s="63"/>
      <c r="D115" s="63"/>
      <c r="E115" s="63" t="str">
        <f t="shared" si="2"/>
        <v/>
      </c>
    </row>
    <row r="116" spans="1:5">
      <c r="A116" s="63"/>
      <c r="B116" s="61"/>
      <c r="C116" s="63"/>
      <c r="D116" s="63"/>
      <c r="E116" s="63" t="str">
        <f t="shared" si="2"/>
        <v/>
      </c>
    </row>
    <row r="117" spans="1:5">
      <c r="A117" s="63"/>
      <c r="B117" s="61"/>
      <c r="C117" s="63"/>
      <c r="D117" s="63"/>
      <c r="E117" s="63" t="str">
        <f t="shared" si="2"/>
        <v/>
      </c>
    </row>
    <row r="118" spans="1:5">
      <c r="A118" s="63"/>
      <c r="B118" s="61"/>
      <c r="C118" s="63"/>
      <c r="D118" s="63"/>
      <c r="E118" s="63" t="str">
        <f t="shared" si="2"/>
        <v/>
      </c>
    </row>
    <row r="119" spans="1:5">
      <c r="A119" s="63"/>
      <c r="B119" s="61"/>
      <c r="C119" s="63"/>
      <c r="D119" s="63"/>
      <c r="E119" s="63" t="str">
        <f t="shared" si="2"/>
        <v/>
      </c>
    </row>
    <row r="120" spans="1:5">
      <c r="A120" s="63"/>
      <c r="B120" s="61"/>
      <c r="C120" s="63"/>
      <c r="D120" s="63"/>
      <c r="E120" s="63" t="str">
        <f t="shared" si="2"/>
        <v/>
      </c>
    </row>
    <row r="121" spans="1:5">
      <c r="A121" s="63"/>
      <c r="B121" s="61"/>
      <c r="C121" s="63"/>
      <c r="D121" s="63"/>
      <c r="E121" s="63" t="str">
        <f t="shared" si="2"/>
        <v/>
      </c>
    </row>
    <row r="122" spans="1:5">
      <c r="A122" s="63"/>
      <c r="B122" s="61"/>
      <c r="C122" s="63"/>
      <c r="D122" s="63"/>
      <c r="E122" s="63" t="str">
        <f t="shared" si="2"/>
        <v/>
      </c>
    </row>
    <row r="123" spans="1:5">
      <c r="A123" s="63"/>
      <c r="B123" s="61"/>
      <c r="C123" s="63"/>
      <c r="D123" s="63"/>
      <c r="E123" s="63" t="str">
        <f t="shared" si="2"/>
        <v/>
      </c>
    </row>
    <row r="124" spans="1:5">
      <c r="A124" s="63"/>
      <c r="B124" s="61"/>
      <c r="C124" s="63"/>
      <c r="D124" s="63"/>
      <c r="E124" s="63" t="str">
        <f t="shared" si="2"/>
        <v/>
      </c>
    </row>
    <row r="125" spans="1:5">
      <c r="A125" s="63"/>
      <c r="B125" s="61"/>
      <c r="C125" s="63"/>
      <c r="D125" s="63"/>
      <c r="E125" s="63" t="str">
        <f t="shared" si="2"/>
        <v/>
      </c>
    </row>
    <row r="126" spans="1:5">
      <c r="A126" s="63"/>
      <c r="B126" s="61"/>
      <c r="C126" s="63"/>
      <c r="D126" s="63"/>
      <c r="E126" s="63" t="str">
        <f t="shared" si="2"/>
        <v/>
      </c>
    </row>
    <row r="127" spans="1:5">
      <c r="A127" s="63"/>
      <c r="B127" s="61"/>
      <c r="C127" s="63"/>
      <c r="D127" s="63"/>
      <c r="E127" s="63" t="str">
        <f t="shared" si="2"/>
        <v/>
      </c>
    </row>
    <row r="128" spans="1:5">
      <c r="A128" s="63"/>
      <c r="B128" s="61"/>
      <c r="C128" s="63"/>
      <c r="D128" s="63"/>
      <c r="E128" s="63" t="str">
        <f t="shared" si="2"/>
        <v/>
      </c>
    </row>
    <row r="129" spans="1:5">
      <c r="A129" s="63"/>
      <c r="B129" s="61"/>
      <c r="C129" s="63"/>
      <c r="D129" s="63"/>
      <c r="E129" s="63" t="str">
        <f t="shared" si="2"/>
        <v/>
      </c>
    </row>
    <row r="130" spans="1:5">
      <c r="A130" s="63"/>
      <c r="B130" s="61"/>
      <c r="C130" s="63"/>
      <c r="D130" s="63"/>
      <c r="E130" s="63" t="str">
        <f t="shared" si="2"/>
        <v/>
      </c>
    </row>
    <row r="131" spans="1:5">
      <c r="A131" s="63"/>
      <c r="B131" s="61"/>
      <c r="C131" s="63"/>
      <c r="D131" s="63"/>
      <c r="E131" s="63" t="str">
        <f t="shared" si="2"/>
        <v/>
      </c>
    </row>
    <row r="132" spans="1:5">
      <c r="A132" s="63"/>
      <c r="B132" s="61"/>
      <c r="C132" s="63"/>
      <c r="D132" s="63"/>
      <c r="E132" s="63" t="str">
        <f t="shared" si="2"/>
        <v/>
      </c>
    </row>
    <row r="133" spans="1:5">
      <c r="A133" s="63"/>
      <c r="B133" s="61"/>
      <c r="C133" s="63"/>
      <c r="D133" s="63"/>
      <c r="E133" s="63" t="str">
        <f t="shared" ref="E133:E196" si="3">IFERROR(VLOOKUP(D133,T_Indices,5,FALSE),"")</f>
        <v/>
      </c>
    </row>
    <row r="134" spans="1:5">
      <c r="A134" s="63"/>
      <c r="B134" s="61"/>
      <c r="C134" s="63"/>
      <c r="D134" s="63"/>
      <c r="E134" s="63" t="str">
        <f t="shared" si="3"/>
        <v/>
      </c>
    </row>
    <row r="135" spans="1:5">
      <c r="A135" s="63"/>
      <c r="B135" s="61"/>
      <c r="C135" s="63"/>
      <c r="D135" s="63"/>
      <c r="E135" s="63" t="str">
        <f t="shared" si="3"/>
        <v/>
      </c>
    </row>
    <row r="136" spans="1:5">
      <c r="A136" s="63"/>
      <c r="B136" s="61"/>
      <c r="C136" s="63"/>
      <c r="D136" s="63"/>
      <c r="E136" s="63" t="str">
        <f t="shared" si="3"/>
        <v/>
      </c>
    </row>
    <row r="137" spans="1:5">
      <c r="A137" s="63"/>
      <c r="B137" s="61"/>
      <c r="C137" s="63"/>
      <c r="D137" s="63"/>
      <c r="E137" s="63" t="str">
        <f t="shared" si="3"/>
        <v/>
      </c>
    </row>
    <row r="138" spans="1:5">
      <c r="A138" s="63"/>
      <c r="B138" s="61"/>
      <c r="C138" s="63"/>
      <c r="D138" s="63"/>
      <c r="E138" s="63" t="str">
        <f t="shared" si="3"/>
        <v/>
      </c>
    </row>
    <row r="139" spans="1:5">
      <c r="A139" s="63"/>
      <c r="B139" s="61"/>
      <c r="C139" s="63"/>
      <c r="D139" s="63"/>
      <c r="E139" s="63" t="str">
        <f t="shared" si="3"/>
        <v/>
      </c>
    </row>
    <row r="140" spans="1:5">
      <c r="A140" s="63"/>
      <c r="B140" s="61"/>
      <c r="C140" s="63"/>
      <c r="D140" s="63"/>
      <c r="E140" s="63" t="str">
        <f t="shared" si="3"/>
        <v/>
      </c>
    </row>
    <row r="141" spans="1:5">
      <c r="A141" s="63"/>
      <c r="B141" s="61"/>
      <c r="C141" s="63"/>
      <c r="D141" s="63"/>
      <c r="E141" s="63" t="str">
        <f t="shared" si="3"/>
        <v/>
      </c>
    </row>
    <row r="142" spans="1:5">
      <c r="A142" s="63"/>
      <c r="B142" s="61"/>
      <c r="C142" s="63"/>
      <c r="D142" s="63"/>
      <c r="E142" s="63" t="str">
        <f t="shared" si="3"/>
        <v/>
      </c>
    </row>
    <row r="143" spans="1:5">
      <c r="A143" s="63"/>
      <c r="B143" s="61"/>
      <c r="C143" s="63"/>
      <c r="D143" s="63"/>
      <c r="E143" s="63" t="str">
        <f t="shared" si="3"/>
        <v/>
      </c>
    </row>
    <row r="144" spans="1:5">
      <c r="A144" s="63"/>
      <c r="B144" s="61"/>
      <c r="C144" s="63"/>
      <c r="D144" s="63"/>
      <c r="E144" s="63" t="str">
        <f t="shared" si="3"/>
        <v/>
      </c>
    </row>
    <row r="145" spans="1:5">
      <c r="A145" s="63"/>
      <c r="B145" s="61"/>
      <c r="C145" s="63"/>
      <c r="D145" s="63"/>
      <c r="E145" s="63" t="str">
        <f t="shared" si="3"/>
        <v/>
      </c>
    </row>
    <row r="146" spans="1:5">
      <c r="A146" s="63"/>
      <c r="B146" s="61"/>
      <c r="C146" s="63"/>
      <c r="D146" s="63"/>
      <c r="E146" s="63" t="str">
        <f t="shared" si="3"/>
        <v/>
      </c>
    </row>
    <row r="147" spans="1:5">
      <c r="A147" s="63"/>
      <c r="B147" s="61"/>
      <c r="C147" s="63"/>
      <c r="D147" s="63"/>
      <c r="E147" s="63" t="str">
        <f t="shared" si="3"/>
        <v/>
      </c>
    </row>
    <row r="148" spans="1:5">
      <c r="A148" s="63"/>
      <c r="B148" s="61"/>
      <c r="C148" s="63"/>
      <c r="D148" s="63"/>
      <c r="E148" s="63" t="str">
        <f t="shared" si="3"/>
        <v/>
      </c>
    </row>
    <row r="149" spans="1:5">
      <c r="A149" s="63"/>
      <c r="B149" s="61"/>
      <c r="C149" s="63"/>
      <c r="D149" s="63"/>
      <c r="E149" s="63" t="str">
        <f t="shared" si="3"/>
        <v/>
      </c>
    </row>
    <row r="150" spans="1:5">
      <c r="A150" s="63"/>
      <c r="B150" s="61"/>
      <c r="C150" s="63"/>
      <c r="D150" s="63"/>
      <c r="E150" s="63" t="str">
        <f t="shared" si="3"/>
        <v/>
      </c>
    </row>
    <row r="151" spans="1:5">
      <c r="A151" s="63"/>
      <c r="B151" s="61"/>
      <c r="C151" s="63"/>
      <c r="D151" s="63"/>
      <c r="E151" s="63" t="str">
        <f t="shared" si="3"/>
        <v/>
      </c>
    </row>
    <row r="152" spans="1:5">
      <c r="A152" s="63"/>
      <c r="B152" s="61"/>
      <c r="C152" s="63"/>
      <c r="D152" s="63"/>
      <c r="E152" s="63" t="str">
        <f t="shared" si="3"/>
        <v/>
      </c>
    </row>
    <row r="153" spans="1:5">
      <c r="A153" s="63"/>
      <c r="B153" s="61"/>
      <c r="C153" s="63"/>
      <c r="D153" s="63"/>
      <c r="E153" s="63" t="str">
        <f t="shared" si="3"/>
        <v/>
      </c>
    </row>
    <row r="154" spans="1:5">
      <c r="A154" s="63"/>
      <c r="B154" s="61"/>
      <c r="C154" s="63"/>
      <c r="D154" s="63"/>
      <c r="E154" s="63" t="str">
        <f t="shared" si="3"/>
        <v/>
      </c>
    </row>
    <row r="155" spans="1:5">
      <c r="A155" s="63"/>
      <c r="B155" s="61"/>
      <c r="C155" s="63"/>
      <c r="D155" s="63"/>
      <c r="E155" s="63" t="str">
        <f t="shared" si="3"/>
        <v/>
      </c>
    </row>
    <row r="156" spans="1:5">
      <c r="A156" s="63"/>
      <c r="B156" s="61"/>
      <c r="C156" s="63"/>
      <c r="D156" s="63"/>
      <c r="E156" s="63" t="str">
        <f t="shared" si="3"/>
        <v/>
      </c>
    </row>
    <row r="157" spans="1:5">
      <c r="A157" s="63"/>
      <c r="B157" s="61"/>
      <c r="C157" s="63"/>
      <c r="D157" s="63"/>
      <c r="E157" s="63" t="str">
        <f t="shared" si="3"/>
        <v/>
      </c>
    </row>
    <row r="158" spans="1:5">
      <c r="A158" s="63"/>
      <c r="B158" s="61"/>
      <c r="C158" s="63"/>
      <c r="D158" s="63"/>
      <c r="E158" s="63" t="str">
        <f t="shared" si="3"/>
        <v/>
      </c>
    </row>
    <row r="159" spans="1:5">
      <c r="A159" s="63"/>
      <c r="B159" s="61"/>
      <c r="C159" s="63"/>
      <c r="D159" s="63"/>
      <c r="E159" s="63" t="str">
        <f t="shared" si="3"/>
        <v/>
      </c>
    </row>
    <row r="160" spans="1:5">
      <c r="A160" s="63"/>
      <c r="B160" s="61"/>
      <c r="C160" s="63"/>
      <c r="D160" s="63"/>
      <c r="E160" s="63" t="str">
        <f t="shared" si="3"/>
        <v/>
      </c>
    </row>
    <row r="161" spans="1:5">
      <c r="A161" s="63"/>
      <c r="B161" s="61"/>
      <c r="C161" s="63"/>
      <c r="D161" s="63"/>
      <c r="E161" s="63" t="str">
        <f t="shared" si="3"/>
        <v/>
      </c>
    </row>
    <row r="162" spans="1:5">
      <c r="A162" s="63"/>
      <c r="B162" s="61"/>
      <c r="C162" s="63"/>
      <c r="D162" s="63"/>
      <c r="E162" s="63" t="str">
        <f t="shared" si="3"/>
        <v/>
      </c>
    </row>
    <row r="163" spans="1:5">
      <c r="A163" s="63"/>
      <c r="B163" s="61"/>
      <c r="C163" s="63"/>
      <c r="D163" s="63"/>
      <c r="E163" s="63" t="str">
        <f t="shared" si="3"/>
        <v/>
      </c>
    </row>
    <row r="164" spans="1:5">
      <c r="A164" s="63"/>
      <c r="B164" s="61"/>
      <c r="C164" s="63"/>
      <c r="D164" s="63"/>
      <c r="E164" s="63" t="str">
        <f t="shared" si="3"/>
        <v/>
      </c>
    </row>
    <row r="165" spans="1:5">
      <c r="A165" s="63"/>
      <c r="B165" s="61"/>
      <c r="C165" s="63"/>
      <c r="D165" s="63"/>
      <c r="E165" s="63" t="str">
        <f t="shared" si="3"/>
        <v/>
      </c>
    </row>
    <row r="166" spans="1:5">
      <c r="A166" s="63"/>
      <c r="B166" s="61"/>
      <c r="C166" s="63"/>
      <c r="D166" s="63"/>
      <c r="E166" s="63" t="str">
        <f t="shared" si="3"/>
        <v/>
      </c>
    </row>
    <row r="167" spans="1:5">
      <c r="A167" s="63"/>
      <c r="B167" s="61"/>
      <c r="C167" s="63"/>
      <c r="D167" s="63"/>
      <c r="E167" s="63" t="str">
        <f t="shared" si="3"/>
        <v/>
      </c>
    </row>
    <row r="168" spans="1:5">
      <c r="A168" s="63"/>
      <c r="B168" s="61"/>
      <c r="C168" s="63"/>
      <c r="D168" s="63"/>
      <c r="E168" s="63" t="str">
        <f t="shared" si="3"/>
        <v/>
      </c>
    </row>
    <row r="169" spans="1:5">
      <c r="A169" s="63"/>
      <c r="B169" s="61"/>
      <c r="C169" s="63"/>
      <c r="D169" s="63"/>
      <c r="E169" s="63" t="str">
        <f t="shared" si="3"/>
        <v/>
      </c>
    </row>
    <row r="170" spans="1:5">
      <c r="A170" s="63"/>
      <c r="B170" s="61"/>
      <c r="C170" s="63"/>
      <c r="D170" s="63"/>
      <c r="E170" s="63" t="str">
        <f t="shared" si="3"/>
        <v/>
      </c>
    </row>
    <row r="171" spans="1:5">
      <c r="A171" s="63"/>
      <c r="B171" s="61"/>
      <c r="C171" s="63"/>
      <c r="D171" s="63"/>
      <c r="E171" s="63" t="str">
        <f t="shared" si="3"/>
        <v/>
      </c>
    </row>
    <row r="172" spans="1:5">
      <c r="A172" s="63"/>
      <c r="B172" s="61"/>
      <c r="C172" s="63"/>
      <c r="D172" s="63"/>
      <c r="E172" s="63" t="str">
        <f t="shared" si="3"/>
        <v/>
      </c>
    </row>
    <row r="173" spans="1:5">
      <c r="A173" s="63"/>
      <c r="B173" s="61"/>
      <c r="C173" s="63"/>
      <c r="D173" s="63"/>
      <c r="E173" s="63" t="str">
        <f t="shared" si="3"/>
        <v/>
      </c>
    </row>
    <row r="174" spans="1:5">
      <c r="A174" s="63"/>
      <c r="B174" s="61"/>
      <c r="C174" s="63"/>
      <c r="D174" s="63"/>
      <c r="E174" s="63" t="str">
        <f t="shared" si="3"/>
        <v/>
      </c>
    </row>
    <row r="175" spans="1:5">
      <c r="A175" s="63"/>
      <c r="B175" s="61"/>
      <c r="C175" s="63"/>
      <c r="D175" s="63"/>
      <c r="E175" s="63" t="str">
        <f t="shared" si="3"/>
        <v/>
      </c>
    </row>
    <row r="176" spans="1:5">
      <c r="A176" s="63"/>
      <c r="B176" s="61"/>
      <c r="C176" s="63"/>
      <c r="D176" s="63"/>
      <c r="E176" s="63" t="str">
        <f t="shared" si="3"/>
        <v/>
      </c>
    </row>
    <row r="177" spans="1:5">
      <c r="A177" s="63"/>
      <c r="B177" s="61"/>
      <c r="C177" s="63"/>
      <c r="D177" s="63"/>
      <c r="E177" s="63" t="str">
        <f t="shared" si="3"/>
        <v/>
      </c>
    </row>
    <row r="178" spans="1:5">
      <c r="A178" s="63"/>
      <c r="B178" s="61"/>
      <c r="C178" s="63"/>
      <c r="D178" s="63"/>
      <c r="E178" s="63" t="str">
        <f t="shared" si="3"/>
        <v/>
      </c>
    </row>
    <row r="179" spans="1:5">
      <c r="A179" s="63"/>
      <c r="B179" s="61"/>
      <c r="C179" s="63"/>
      <c r="D179" s="63"/>
      <c r="E179" s="63" t="str">
        <f t="shared" si="3"/>
        <v/>
      </c>
    </row>
    <row r="180" spans="1:5">
      <c r="A180" s="63"/>
      <c r="B180" s="61"/>
      <c r="C180" s="63"/>
      <c r="D180" s="63"/>
      <c r="E180" s="63" t="str">
        <f t="shared" si="3"/>
        <v/>
      </c>
    </row>
    <row r="181" spans="1:5">
      <c r="A181" s="63"/>
      <c r="B181" s="61"/>
      <c r="C181" s="63"/>
      <c r="D181" s="63"/>
      <c r="E181" s="63" t="str">
        <f t="shared" si="3"/>
        <v/>
      </c>
    </row>
    <row r="182" spans="1:5">
      <c r="A182" s="63"/>
      <c r="B182" s="61"/>
      <c r="C182" s="63"/>
      <c r="D182" s="63"/>
      <c r="E182" s="63" t="str">
        <f t="shared" si="3"/>
        <v/>
      </c>
    </row>
    <row r="183" spans="1:5">
      <c r="A183" s="63"/>
      <c r="B183" s="61"/>
      <c r="C183" s="63"/>
      <c r="D183" s="63"/>
      <c r="E183" s="63" t="str">
        <f t="shared" si="3"/>
        <v/>
      </c>
    </row>
    <row r="184" spans="1:5">
      <c r="A184" s="63"/>
      <c r="B184" s="61"/>
      <c r="C184" s="63"/>
      <c r="D184" s="63"/>
      <c r="E184" s="63" t="str">
        <f t="shared" si="3"/>
        <v/>
      </c>
    </row>
    <row r="185" spans="1:5">
      <c r="A185" s="63"/>
      <c r="B185" s="61"/>
      <c r="C185" s="63"/>
      <c r="D185" s="63"/>
      <c r="E185" s="63" t="str">
        <f t="shared" si="3"/>
        <v/>
      </c>
    </row>
    <row r="186" spans="1:5">
      <c r="A186" s="63"/>
      <c r="B186" s="61"/>
      <c r="C186" s="63"/>
      <c r="D186" s="63"/>
      <c r="E186" s="63" t="str">
        <f t="shared" si="3"/>
        <v/>
      </c>
    </row>
    <row r="187" spans="1:5">
      <c r="A187" s="63"/>
      <c r="B187" s="61"/>
      <c r="C187" s="63"/>
      <c r="D187" s="63"/>
      <c r="E187" s="63" t="str">
        <f t="shared" si="3"/>
        <v/>
      </c>
    </row>
    <row r="188" spans="1:5">
      <c r="A188" s="63"/>
      <c r="B188" s="61"/>
      <c r="C188" s="63"/>
      <c r="D188" s="63"/>
      <c r="E188" s="63" t="str">
        <f t="shared" si="3"/>
        <v/>
      </c>
    </row>
    <row r="189" spans="1:5">
      <c r="A189" s="63"/>
      <c r="B189" s="61"/>
      <c r="C189" s="63"/>
      <c r="D189" s="63"/>
      <c r="E189" s="63" t="str">
        <f t="shared" si="3"/>
        <v/>
      </c>
    </row>
    <row r="190" spans="1:5">
      <c r="A190" s="63"/>
      <c r="B190" s="61"/>
      <c r="C190" s="63"/>
      <c r="D190" s="63"/>
      <c r="E190" s="63" t="str">
        <f t="shared" si="3"/>
        <v/>
      </c>
    </row>
    <row r="191" spans="1:5">
      <c r="A191" s="63"/>
      <c r="B191" s="61"/>
      <c r="C191" s="63"/>
      <c r="D191" s="63"/>
      <c r="E191" s="63" t="str">
        <f t="shared" si="3"/>
        <v/>
      </c>
    </row>
    <row r="192" spans="1:5">
      <c r="A192" s="63"/>
      <c r="B192" s="61"/>
      <c r="C192" s="63"/>
      <c r="D192" s="63"/>
      <c r="E192" s="63" t="str">
        <f t="shared" si="3"/>
        <v/>
      </c>
    </row>
    <row r="193" spans="1:5">
      <c r="A193" s="63"/>
      <c r="B193" s="61"/>
      <c r="C193" s="63"/>
      <c r="D193" s="63"/>
      <c r="E193" s="63" t="str">
        <f t="shared" si="3"/>
        <v/>
      </c>
    </row>
    <row r="194" spans="1:5">
      <c r="A194" s="63"/>
      <c r="B194" s="61"/>
      <c r="C194" s="63"/>
      <c r="D194" s="63"/>
      <c r="E194" s="63" t="str">
        <f t="shared" si="3"/>
        <v/>
      </c>
    </row>
    <row r="195" spans="1:5">
      <c r="A195" s="63"/>
      <c r="B195" s="61"/>
      <c r="C195" s="63"/>
      <c r="D195" s="63"/>
      <c r="E195" s="63" t="str">
        <f t="shared" si="3"/>
        <v/>
      </c>
    </row>
    <row r="196" spans="1:5">
      <c r="A196" s="63"/>
      <c r="B196" s="61"/>
      <c r="C196" s="63"/>
      <c r="D196" s="63"/>
      <c r="E196" s="63" t="str">
        <f t="shared" si="3"/>
        <v/>
      </c>
    </row>
    <row r="197" spans="1:5">
      <c r="A197" s="63"/>
      <c r="B197" s="61"/>
      <c r="C197" s="63"/>
      <c r="D197" s="63"/>
      <c r="E197" s="63" t="str">
        <f t="shared" ref="E197:E260" si="4">IFERROR(VLOOKUP(D197,T_Indices,5,FALSE),"")</f>
        <v/>
      </c>
    </row>
    <row r="198" spans="1:5">
      <c r="A198" s="63"/>
      <c r="B198" s="61"/>
      <c r="C198" s="63"/>
      <c r="D198" s="63"/>
      <c r="E198" s="63" t="str">
        <f t="shared" si="4"/>
        <v/>
      </c>
    </row>
    <row r="199" spans="1:5">
      <c r="A199" s="63"/>
      <c r="B199" s="61"/>
      <c r="C199" s="63"/>
      <c r="D199" s="63"/>
      <c r="E199" s="63" t="str">
        <f t="shared" si="4"/>
        <v/>
      </c>
    </row>
    <row r="200" spans="1:5">
      <c r="A200" s="63"/>
      <c r="B200" s="61"/>
      <c r="C200" s="63"/>
      <c r="D200" s="63"/>
      <c r="E200" s="63" t="str">
        <f t="shared" si="4"/>
        <v/>
      </c>
    </row>
    <row r="201" spans="1:5">
      <c r="A201" s="63"/>
      <c r="B201" s="61"/>
      <c r="C201" s="63"/>
      <c r="D201" s="63"/>
      <c r="E201" s="63" t="str">
        <f t="shared" si="4"/>
        <v/>
      </c>
    </row>
    <row r="202" spans="1:5">
      <c r="A202" s="63"/>
      <c r="B202" s="61"/>
      <c r="C202" s="63"/>
      <c r="D202" s="63"/>
      <c r="E202" s="63" t="str">
        <f t="shared" si="4"/>
        <v/>
      </c>
    </row>
    <row r="203" spans="1:5">
      <c r="A203" s="63"/>
      <c r="B203" s="61"/>
      <c r="C203" s="63"/>
      <c r="D203" s="63"/>
      <c r="E203" s="63" t="str">
        <f t="shared" si="4"/>
        <v/>
      </c>
    </row>
    <row r="204" spans="1:5">
      <c r="A204" s="63"/>
      <c r="B204" s="61"/>
      <c r="C204" s="63"/>
      <c r="D204" s="63"/>
      <c r="E204" s="63" t="str">
        <f t="shared" si="4"/>
        <v/>
      </c>
    </row>
    <row r="205" spans="1:5">
      <c r="A205" s="63"/>
      <c r="B205" s="61"/>
      <c r="C205" s="63"/>
      <c r="D205" s="63"/>
      <c r="E205" s="63" t="str">
        <f t="shared" si="4"/>
        <v/>
      </c>
    </row>
    <row r="206" spans="1:5">
      <c r="A206" s="63"/>
      <c r="B206" s="61"/>
      <c r="C206" s="63"/>
      <c r="D206" s="63"/>
      <c r="E206" s="63" t="str">
        <f t="shared" si="4"/>
        <v/>
      </c>
    </row>
    <row r="207" spans="1:5">
      <c r="A207" s="63"/>
      <c r="B207" s="61"/>
      <c r="C207" s="63"/>
      <c r="D207" s="63"/>
      <c r="E207" s="63" t="str">
        <f t="shared" si="4"/>
        <v/>
      </c>
    </row>
    <row r="208" spans="1:5">
      <c r="A208" s="63"/>
      <c r="B208" s="61"/>
      <c r="C208" s="63"/>
      <c r="D208" s="63"/>
      <c r="E208" s="63" t="str">
        <f t="shared" si="4"/>
        <v/>
      </c>
    </row>
    <row r="209" spans="1:5">
      <c r="A209" s="63"/>
      <c r="B209" s="61"/>
      <c r="C209" s="63"/>
      <c r="D209" s="63"/>
      <c r="E209" s="63" t="str">
        <f t="shared" si="4"/>
        <v/>
      </c>
    </row>
    <row r="210" spans="1:5">
      <c r="A210" s="63"/>
      <c r="B210" s="61"/>
      <c r="C210" s="63"/>
      <c r="D210" s="63"/>
      <c r="E210" s="63" t="str">
        <f t="shared" si="4"/>
        <v/>
      </c>
    </row>
    <row r="211" spans="1:5">
      <c r="A211" s="63"/>
      <c r="B211" s="61"/>
      <c r="C211" s="63"/>
      <c r="D211" s="63"/>
      <c r="E211" s="63" t="str">
        <f t="shared" si="4"/>
        <v/>
      </c>
    </row>
    <row r="212" spans="1:5">
      <c r="A212" s="63"/>
      <c r="B212" s="61"/>
      <c r="C212" s="63"/>
      <c r="D212" s="63"/>
      <c r="E212" s="63" t="str">
        <f t="shared" si="4"/>
        <v/>
      </c>
    </row>
    <row r="213" spans="1:5">
      <c r="A213" s="63"/>
      <c r="B213" s="61"/>
      <c r="C213" s="63"/>
      <c r="D213" s="63"/>
      <c r="E213" s="63" t="str">
        <f t="shared" si="4"/>
        <v/>
      </c>
    </row>
    <row r="214" spans="1:5">
      <c r="A214" s="63"/>
      <c r="B214" s="61"/>
      <c r="C214" s="63"/>
      <c r="D214" s="63"/>
      <c r="E214" s="63" t="str">
        <f t="shared" si="4"/>
        <v/>
      </c>
    </row>
    <row r="215" spans="1:5">
      <c r="A215" s="63"/>
      <c r="B215" s="61"/>
      <c r="C215" s="63"/>
      <c r="D215" s="63"/>
      <c r="E215" s="63" t="str">
        <f t="shared" si="4"/>
        <v/>
      </c>
    </row>
    <row r="216" spans="1:5">
      <c r="A216" s="63"/>
      <c r="B216" s="61"/>
      <c r="C216" s="63"/>
      <c r="D216" s="63"/>
      <c r="E216" s="63" t="str">
        <f t="shared" si="4"/>
        <v/>
      </c>
    </row>
    <row r="217" spans="1:5">
      <c r="A217" s="63"/>
      <c r="B217" s="61"/>
      <c r="C217" s="63"/>
      <c r="D217" s="63"/>
      <c r="E217" s="63" t="str">
        <f t="shared" si="4"/>
        <v/>
      </c>
    </row>
    <row r="218" spans="1:5">
      <c r="A218" s="63"/>
      <c r="B218" s="61"/>
      <c r="C218" s="63"/>
      <c r="D218" s="63"/>
      <c r="E218" s="63" t="str">
        <f t="shared" si="4"/>
        <v/>
      </c>
    </row>
    <row r="219" spans="1:5">
      <c r="A219" s="63"/>
      <c r="B219" s="61"/>
      <c r="C219" s="63"/>
      <c r="D219" s="63"/>
      <c r="E219" s="63" t="str">
        <f t="shared" si="4"/>
        <v/>
      </c>
    </row>
    <row r="220" spans="1:5">
      <c r="A220" s="63"/>
      <c r="B220" s="61"/>
      <c r="C220" s="63"/>
      <c r="D220" s="63"/>
      <c r="E220" s="63" t="str">
        <f t="shared" si="4"/>
        <v/>
      </c>
    </row>
    <row r="221" spans="1:5">
      <c r="A221" s="63"/>
      <c r="B221" s="61"/>
      <c r="C221" s="63"/>
      <c r="D221" s="63"/>
      <c r="E221" s="63" t="str">
        <f t="shared" si="4"/>
        <v/>
      </c>
    </row>
    <row r="222" spans="1:5">
      <c r="A222" s="63"/>
      <c r="B222" s="61"/>
      <c r="C222" s="63"/>
      <c r="D222" s="63"/>
      <c r="E222" s="63" t="str">
        <f t="shared" si="4"/>
        <v/>
      </c>
    </row>
    <row r="223" spans="1:5">
      <c r="A223" s="63"/>
      <c r="B223" s="61"/>
      <c r="C223" s="63"/>
      <c r="D223" s="63"/>
      <c r="E223" s="63" t="str">
        <f t="shared" si="4"/>
        <v/>
      </c>
    </row>
    <row r="224" spans="1:5">
      <c r="A224" s="63"/>
      <c r="B224" s="61"/>
      <c r="C224" s="63"/>
      <c r="D224" s="63"/>
      <c r="E224" s="63" t="str">
        <f t="shared" si="4"/>
        <v/>
      </c>
    </row>
    <row r="225" spans="1:5">
      <c r="A225" s="63"/>
      <c r="B225" s="61"/>
      <c r="C225" s="63"/>
      <c r="D225" s="63"/>
      <c r="E225" s="63" t="str">
        <f t="shared" si="4"/>
        <v/>
      </c>
    </row>
    <row r="226" spans="1:5">
      <c r="A226" s="63"/>
      <c r="B226" s="61"/>
      <c r="C226" s="63"/>
      <c r="D226" s="63"/>
      <c r="E226" s="63" t="str">
        <f t="shared" si="4"/>
        <v/>
      </c>
    </row>
    <row r="227" spans="1:5">
      <c r="A227" s="63"/>
      <c r="B227" s="61"/>
      <c r="C227" s="63"/>
      <c r="D227" s="63"/>
      <c r="E227" s="63" t="str">
        <f t="shared" si="4"/>
        <v/>
      </c>
    </row>
    <row r="228" spans="1:5">
      <c r="A228" s="63"/>
      <c r="B228" s="61"/>
      <c r="C228" s="63"/>
      <c r="D228" s="63"/>
      <c r="E228" s="63" t="str">
        <f t="shared" si="4"/>
        <v/>
      </c>
    </row>
    <row r="229" spans="1:5">
      <c r="A229" s="63"/>
      <c r="B229" s="61"/>
      <c r="C229" s="63"/>
      <c r="D229" s="63"/>
      <c r="E229" s="63" t="str">
        <f t="shared" si="4"/>
        <v/>
      </c>
    </row>
    <row r="230" spans="1:5">
      <c r="A230" s="63"/>
      <c r="B230" s="61"/>
      <c r="C230" s="63"/>
      <c r="D230" s="63"/>
      <c r="E230" s="63" t="str">
        <f t="shared" si="4"/>
        <v/>
      </c>
    </row>
    <row r="231" spans="1:5">
      <c r="A231" s="63"/>
      <c r="B231" s="61"/>
      <c r="C231" s="63"/>
      <c r="D231" s="63"/>
      <c r="E231" s="63" t="str">
        <f t="shared" si="4"/>
        <v/>
      </c>
    </row>
    <row r="232" spans="1:5">
      <c r="A232" s="63"/>
      <c r="B232" s="61"/>
      <c r="C232" s="63"/>
      <c r="D232" s="63"/>
      <c r="E232" s="63" t="str">
        <f t="shared" si="4"/>
        <v/>
      </c>
    </row>
    <row r="233" spans="1:5">
      <c r="A233" s="63"/>
      <c r="B233" s="61"/>
      <c r="C233" s="63"/>
      <c r="D233" s="63"/>
      <c r="E233" s="63" t="str">
        <f t="shared" si="4"/>
        <v/>
      </c>
    </row>
    <row r="234" spans="1:5">
      <c r="A234" s="63"/>
      <c r="B234" s="61"/>
      <c r="C234" s="63"/>
      <c r="D234" s="63"/>
      <c r="E234" s="63" t="str">
        <f t="shared" si="4"/>
        <v/>
      </c>
    </row>
    <row r="235" spans="1:5">
      <c r="A235" s="63"/>
      <c r="B235" s="61"/>
      <c r="C235" s="63"/>
      <c r="D235" s="63"/>
      <c r="E235" s="63" t="str">
        <f t="shared" si="4"/>
        <v/>
      </c>
    </row>
    <row r="236" spans="1:5">
      <c r="A236" s="63"/>
      <c r="B236" s="61"/>
      <c r="C236" s="63"/>
      <c r="D236" s="63"/>
      <c r="E236" s="63" t="str">
        <f t="shared" si="4"/>
        <v/>
      </c>
    </row>
    <row r="237" spans="1:5">
      <c r="A237" s="63"/>
      <c r="B237" s="61"/>
      <c r="C237" s="63"/>
      <c r="D237" s="63"/>
      <c r="E237" s="63" t="str">
        <f t="shared" si="4"/>
        <v/>
      </c>
    </row>
    <row r="238" spans="1:5">
      <c r="A238" s="63"/>
      <c r="B238" s="61"/>
      <c r="C238" s="63"/>
      <c r="D238" s="63"/>
      <c r="E238" s="63" t="str">
        <f t="shared" si="4"/>
        <v/>
      </c>
    </row>
    <row r="239" spans="1:5">
      <c r="A239" s="63"/>
      <c r="B239" s="61"/>
      <c r="C239" s="63"/>
      <c r="D239" s="63"/>
      <c r="E239" s="63" t="str">
        <f t="shared" si="4"/>
        <v/>
      </c>
    </row>
    <row r="240" spans="1:5">
      <c r="A240" s="63"/>
      <c r="B240" s="61"/>
      <c r="C240" s="63"/>
      <c r="D240" s="63"/>
      <c r="E240" s="63" t="str">
        <f t="shared" si="4"/>
        <v/>
      </c>
    </row>
    <row r="241" spans="1:5">
      <c r="A241" s="63"/>
      <c r="B241" s="61"/>
      <c r="C241" s="63"/>
      <c r="D241" s="63"/>
      <c r="E241" s="63" t="str">
        <f t="shared" si="4"/>
        <v/>
      </c>
    </row>
    <row r="242" spans="1:5">
      <c r="A242" s="63"/>
      <c r="B242" s="61"/>
      <c r="C242" s="63"/>
      <c r="D242" s="63"/>
      <c r="E242" s="63" t="str">
        <f t="shared" si="4"/>
        <v/>
      </c>
    </row>
    <row r="243" spans="1:5">
      <c r="A243" s="63"/>
      <c r="B243" s="61"/>
      <c r="C243" s="63"/>
      <c r="D243" s="63"/>
      <c r="E243" s="63" t="str">
        <f t="shared" si="4"/>
        <v/>
      </c>
    </row>
    <row r="244" spans="1:5">
      <c r="A244" s="63"/>
      <c r="B244" s="61"/>
      <c r="C244" s="63"/>
      <c r="D244" s="63"/>
      <c r="E244" s="63" t="str">
        <f t="shared" si="4"/>
        <v/>
      </c>
    </row>
    <row r="245" spans="1:5">
      <c r="A245" s="63"/>
      <c r="B245" s="61"/>
      <c r="C245" s="63"/>
      <c r="D245" s="63"/>
      <c r="E245" s="63" t="str">
        <f t="shared" si="4"/>
        <v/>
      </c>
    </row>
    <row r="246" spans="1:5">
      <c r="A246" s="63"/>
      <c r="B246" s="61"/>
      <c r="C246" s="63"/>
      <c r="D246" s="63"/>
      <c r="E246" s="63" t="str">
        <f t="shared" si="4"/>
        <v/>
      </c>
    </row>
    <row r="247" spans="1:5">
      <c r="A247" s="63"/>
      <c r="B247" s="61"/>
      <c r="C247" s="63"/>
      <c r="D247" s="63"/>
      <c r="E247" s="63" t="str">
        <f t="shared" si="4"/>
        <v/>
      </c>
    </row>
    <row r="248" spans="1:5">
      <c r="A248" s="63"/>
      <c r="B248" s="61"/>
      <c r="C248" s="63"/>
      <c r="D248" s="63"/>
      <c r="E248" s="63" t="str">
        <f t="shared" si="4"/>
        <v/>
      </c>
    </row>
    <row r="249" spans="1:5">
      <c r="A249" s="63"/>
      <c r="B249" s="61"/>
      <c r="C249" s="63"/>
      <c r="D249" s="63"/>
      <c r="E249" s="63" t="str">
        <f t="shared" si="4"/>
        <v/>
      </c>
    </row>
    <row r="250" spans="1:5">
      <c r="A250" s="63"/>
      <c r="B250" s="61"/>
      <c r="C250" s="63"/>
      <c r="D250" s="63"/>
      <c r="E250" s="63" t="str">
        <f t="shared" si="4"/>
        <v/>
      </c>
    </row>
    <row r="251" spans="1:5">
      <c r="A251" s="63"/>
      <c r="B251" s="61"/>
      <c r="C251" s="63"/>
      <c r="D251" s="63"/>
      <c r="E251" s="63" t="str">
        <f t="shared" si="4"/>
        <v/>
      </c>
    </row>
    <row r="252" spans="1:5">
      <c r="A252" s="63"/>
      <c r="B252" s="61"/>
      <c r="C252" s="63"/>
      <c r="D252" s="63"/>
      <c r="E252" s="63" t="str">
        <f t="shared" si="4"/>
        <v/>
      </c>
    </row>
    <row r="253" spans="1:5">
      <c r="A253" s="63"/>
      <c r="B253" s="61"/>
      <c r="C253" s="63"/>
      <c r="D253" s="63"/>
      <c r="E253" s="63" t="str">
        <f t="shared" si="4"/>
        <v/>
      </c>
    </row>
    <row r="254" spans="1:5">
      <c r="A254" s="63"/>
      <c r="B254" s="61"/>
      <c r="C254" s="63"/>
      <c r="D254" s="63"/>
      <c r="E254" s="63" t="str">
        <f t="shared" si="4"/>
        <v/>
      </c>
    </row>
    <row r="255" spans="1:5">
      <c r="A255" s="63"/>
      <c r="B255" s="61"/>
      <c r="C255" s="63"/>
      <c r="D255" s="63"/>
      <c r="E255" s="63" t="str">
        <f t="shared" si="4"/>
        <v/>
      </c>
    </row>
    <row r="256" spans="1:5">
      <c r="A256" s="63"/>
      <c r="B256" s="61"/>
      <c r="C256" s="63"/>
      <c r="D256" s="63"/>
      <c r="E256" s="63" t="str">
        <f t="shared" si="4"/>
        <v/>
      </c>
    </row>
    <row r="257" spans="1:5">
      <c r="A257" s="63"/>
      <c r="B257" s="61"/>
      <c r="C257" s="63"/>
      <c r="D257" s="63"/>
      <c r="E257" s="63" t="str">
        <f t="shared" si="4"/>
        <v/>
      </c>
    </row>
    <row r="258" spans="1:5">
      <c r="A258" s="63"/>
      <c r="B258" s="61"/>
      <c r="C258" s="63"/>
      <c r="D258" s="63"/>
      <c r="E258" s="63" t="str">
        <f t="shared" si="4"/>
        <v/>
      </c>
    </row>
    <row r="259" spans="1:5">
      <c r="A259" s="63"/>
      <c r="B259" s="61"/>
      <c r="C259" s="63"/>
      <c r="D259" s="63"/>
      <c r="E259" s="63" t="str">
        <f t="shared" si="4"/>
        <v/>
      </c>
    </row>
    <row r="260" spans="1:5">
      <c r="A260" s="63"/>
      <c r="B260" s="61"/>
      <c r="C260" s="63"/>
      <c r="D260" s="63"/>
      <c r="E260" s="63" t="str">
        <f t="shared" si="4"/>
        <v/>
      </c>
    </row>
    <row r="261" spans="1:5">
      <c r="A261" s="63"/>
      <c r="B261" s="61"/>
      <c r="C261" s="63"/>
      <c r="D261" s="63"/>
      <c r="E261" s="63" t="str">
        <f t="shared" ref="E261:E324" si="5">IFERROR(VLOOKUP(D261,T_Indices,5,FALSE),"")</f>
        <v/>
      </c>
    </row>
    <row r="262" spans="1:5">
      <c r="A262" s="63"/>
      <c r="B262" s="61"/>
      <c r="C262" s="63"/>
      <c r="D262" s="63"/>
      <c r="E262" s="63" t="str">
        <f t="shared" si="5"/>
        <v/>
      </c>
    </row>
    <row r="263" spans="1:5">
      <c r="A263" s="63"/>
      <c r="B263" s="61"/>
      <c r="C263" s="63"/>
      <c r="D263" s="63"/>
      <c r="E263" s="63" t="str">
        <f t="shared" si="5"/>
        <v/>
      </c>
    </row>
    <row r="264" spans="1:5">
      <c r="A264" s="63"/>
      <c r="B264" s="61"/>
      <c r="C264" s="63"/>
      <c r="D264" s="63"/>
      <c r="E264" s="63" t="str">
        <f t="shared" si="5"/>
        <v/>
      </c>
    </row>
    <row r="265" spans="1:5">
      <c r="A265" s="63"/>
      <c r="B265" s="61"/>
      <c r="C265" s="63"/>
      <c r="D265" s="63"/>
      <c r="E265" s="63" t="str">
        <f t="shared" si="5"/>
        <v/>
      </c>
    </row>
    <row r="266" spans="1:5">
      <c r="A266" s="63"/>
      <c r="B266" s="61"/>
      <c r="C266" s="63"/>
      <c r="D266" s="63"/>
      <c r="E266" s="63" t="str">
        <f t="shared" si="5"/>
        <v/>
      </c>
    </row>
    <row r="267" spans="1:5">
      <c r="A267" s="63"/>
      <c r="B267" s="61"/>
      <c r="C267" s="63"/>
      <c r="D267" s="63"/>
      <c r="E267" s="63" t="str">
        <f t="shared" si="5"/>
        <v/>
      </c>
    </row>
    <row r="268" spans="1:5">
      <c r="A268" s="63"/>
      <c r="B268" s="61"/>
      <c r="C268" s="63"/>
      <c r="D268" s="63"/>
      <c r="E268" s="63" t="str">
        <f t="shared" si="5"/>
        <v/>
      </c>
    </row>
    <row r="269" spans="1:5">
      <c r="A269" s="63"/>
      <c r="B269" s="61"/>
      <c r="C269" s="63"/>
      <c r="D269" s="63"/>
      <c r="E269" s="63" t="str">
        <f t="shared" si="5"/>
        <v/>
      </c>
    </row>
    <row r="270" spans="1:5">
      <c r="A270" s="63"/>
      <c r="B270" s="61"/>
      <c r="C270" s="63"/>
      <c r="D270" s="63"/>
      <c r="E270" s="63" t="str">
        <f t="shared" si="5"/>
        <v/>
      </c>
    </row>
    <row r="271" spans="1:5">
      <c r="A271" s="63"/>
      <c r="B271" s="61"/>
      <c r="C271" s="63"/>
      <c r="D271" s="63"/>
      <c r="E271" s="63" t="str">
        <f t="shared" si="5"/>
        <v/>
      </c>
    </row>
    <row r="272" spans="1:5">
      <c r="A272" s="63"/>
      <c r="B272" s="61"/>
      <c r="C272" s="63"/>
      <c r="D272" s="63"/>
      <c r="E272" s="63" t="str">
        <f t="shared" si="5"/>
        <v/>
      </c>
    </row>
    <row r="273" spans="1:5">
      <c r="A273" s="63"/>
      <c r="B273" s="61"/>
      <c r="C273" s="63"/>
      <c r="D273" s="63"/>
      <c r="E273" s="63" t="str">
        <f t="shared" si="5"/>
        <v/>
      </c>
    </row>
    <row r="274" spans="1:5">
      <c r="A274" s="63"/>
      <c r="B274" s="61"/>
      <c r="C274" s="63"/>
      <c r="D274" s="63"/>
      <c r="E274" s="63" t="str">
        <f t="shared" si="5"/>
        <v/>
      </c>
    </row>
    <row r="275" spans="1:5">
      <c r="A275" s="63"/>
      <c r="B275" s="61"/>
      <c r="C275" s="63"/>
      <c r="D275" s="63"/>
      <c r="E275" s="63" t="str">
        <f t="shared" si="5"/>
        <v/>
      </c>
    </row>
    <row r="276" spans="1:5">
      <c r="A276" s="63"/>
      <c r="B276" s="61"/>
      <c r="C276" s="63"/>
      <c r="D276" s="63"/>
      <c r="E276" s="63" t="str">
        <f t="shared" si="5"/>
        <v/>
      </c>
    </row>
    <row r="277" spans="1:5">
      <c r="A277" s="63"/>
      <c r="B277" s="61"/>
      <c r="C277" s="63"/>
      <c r="D277" s="63"/>
      <c r="E277" s="63" t="str">
        <f t="shared" si="5"/>
        <v/>
      </c>
    </row>
    <row r="278" spans="1:5">
      <c r="A278" s="63"/>
      <c r="B278" s="61"/>
      <c r="C278" s="63"/>
      <c r="D278" s="63"/>
      <c r="E278" s="63" t="str">
        <f t="shared" si="5"/>
        <v/>
      </c>
    </row>
    <row r="279" spans="1:5">
      <c r="A279" s="63"/>
      <c r="B279" s="61"/>
      <c r="C279" s="63"/>
      <c r="D279" s="63"/>
      <c r="E279" s="63" t="str">
        <f t="shared" si="5"/>
        <v/>
      </c>
    </row>
    <row r="280" spans="1:5">
      <c r="A280" s="63"/>
      <c r="B280" s="61"/>
      <c r="C280" s="63"/>
      <c r="D280" s="63"/>
      <c r="E280" s="63" t="str">
        <f t="shared" si="5"/>
        <v/>
      </c>
    </row>
    <row r="281" spans="1:5">
      <c r="A281" s="63"/>
      <c r="B281" s="61"/>
      <c r="C281" s="63"/>
      <c r="D281" s="63"/>
      <c r="E281" s="63" t="str">
        <f t="shared" si="5"/>
        <v/>
      </c>
    </row>
    <row r="282" spans="1:5">
      <c r="A282" s="63"/>
      <c r="B282" s="61"/>
      <c r="C282" s="63"/>
      <c r="D282" s="63"/>
      <c r="E282" s="63" t="str">
        <f t="shared" si="5"/>
        <v/>
      </c>
    </row>
    <row r="283" spans="1:5">
      <c r="A283" s="63"/>
      <c r="B283" s="61"/>
      <c r="C283" s="63"/>
      <c r="D283" s="63"/>
      <c r="E283" s="63" t="str">
        <f t="shared" si="5"/>
        <v/>
      </c>
    </row>
    <row r="284" spans="1:5">
      <c r="A284" s="63"/>
      <c r="B284" s="61"/>
      <c r="C284" s="63"/>
      <c r="D284" s="63"/>
      <c r="E284" s="63" t="str">
        <f t="shared" si="5"/>
        <v/>
      </c>
    </row>
    <row r="285" spans="1:5">
      <c r="A285" s="63"/>
      <c r="B285" s="61"/>
      <c r="C285" s="63"/>
      <c r="D285" s="63"/>
      <c r="E285" s="63" t="str">
        <f t="shared" si="5"/>
        <v/>
      </c>
    </row>
    <row r="286" spans="1:5">
      <c r="A286" s="63"/>
      <c r="B286" s="61"/>
      <c r="C286" s="63"/>
      <c r="D286" s="63"/>
      <c r="E286" s="63" t="str">
        <f t="shared" si="5"/>
        <v/>
      </c>
    </row>
    <row r="287" spans="1:5">
      <c r="A287" s="63"/>
      <c r="B287" s="61"/>
      <c r="C287" s="63"/>
      <c r="D287" s="63"/>
      <c r="E287" s="63" t="str">
        <f t="shared" si="5"/>
        <v/>
      </c>
    </row>
    <row r="288" spans="1:5">
      <c r="A288" s="63"/>
      <c r="B288" s="61"/>
      <c r="C288" s="63"/>
      <c r="D288" s="63"/>
      <c r="E288" s="63" t="str">
        <f t="shared" si="5"/>
        <v/>
      </c>
    </row>
    <row r="289" spans="1:5">
      <c r="A289" s="63"/>
      <c r="B289" s="61"/>
      <c r="C289" s="63"/>
      <c r="D289" s="63"/>
      <c r="E289" s="63" t="str">
        <f t="shared" si="5"/>
        <v/>
      </c>
    </row>
    <row r="290" spans="1:5">
      <c r="A290" s="63"/>
      <c r="B290" s="61"/>
      <c r="C290" s="63"/>
      <c r="D290" s="63"/>
      <c r="E290" s="63" t="str">
        <f t="shared" si="5"/>
        <v/>
      </c>
    </row>
    <row r="291" spans="1:5">
      <c r="A291" s="63"/>
      <c r="B291" s="61"/>
      <c r="C291" s="63"/>
      <c r="D291" s="63"/>
      <c r="E291" s="63" t="str">
        <f t="shared" si="5"/>
        <v/>
      </c>
    </row>
    <row r="292" spans="1:5">
      <c r="A292" s="63"/>
      <c r="B292" s="61"/>
      <c r="C292" s="63"/>
      <c r="D292" s="63"/>
      <c r="E292" s="63" t="str">
        <f t="shared" si="5"/>
        <v/>
      </c>
    </row>
    <row r="293" spans="1:5">
      <c r="A293" s="63"/>
      <c r="B293" s="61"/>
      <c r="C293" s="63"/>
      <c r="D293" s="63"/>
      <c r="E293" s="63" t="str">
        <f t="shared" si="5"/>
        <v/>
      </c>
    </row>
    <row r="294" spans="1:5">
      <c r="A294" s="63"/>
      <c r="B294" s="61"/>
      <c r="C294" s="63"/>
      <c r="D294" s="63"/>
      <c r="E294" s="63" t="str">
        <f t="shared" si="5"/>
        <v/>
      </c>
    </row>
    <row r="295" spans="1:5">
      <c r="A295" s="63"/>
      <c r="B295" s="61"/>
      <c r="C295" s="63"/>
      <c r="D295" s="63"/>
      <c r="E295" s="63" t="str">
        <f t="shared" si="5"/>
        <v/>
      </c>
    </row>
    <row r="296" spans="1:5">
      <c r="A296" s="63"/>
      <c r="B296" s="61"/>
      <c r="C296" s="63"/>
      <c r="D296" s="63"/>
      <c r="E296" s="63" t="str">
        <f t="shared" si="5"/>
        <v/>
      </c>
    </row>
    <row r="297" spans="1:5">
      <c r="A297" s="63"/>
      <c r="B297" s="61"/>
      <c r="C297" s="63"/>
      <c r="D297" s="63"/>
      <c r="E297" s="63" t="str">
        <f t="shared" si="5"/>
        <v/>
      </c>
    </row>
    <row r="298" spans="1:5">
      <c r="A298" s="63"/>
      <c r="B298" s="61"/>
      <c r="C298" s="63"/>
      <c r="D298" s="63"/>
      <c r="E298" s="63" t="str">
        <f t="shared" si="5"/>
        <v/>
      </c>
    </row>
    <row r="299" spans="1:5">
      <c r="A299" s="63"/>
      <c r="B299" s="61"/>
      <c r="C299" s="63"/>
      <c r="D299" s="63"/>
      <c r="E299" s="63" t="str">
        <f t="shared" si="5"/>
        <v/>
      </c>
    </row>
    <row r="300" spans="1:5">
      <c r="A300" s="63"/>
      <c r="B300" s="61"/>
      <c r="C300" s="63"/>
      <c r="D300" s="63"/>
      <c r="E300" s="63" t="str">
        <f t="shared" si="5"/>
        <v/>
      </c>
    </row>
    <row r="301" spans="1:5">
      <c r="A301" s="63"/>
      <c r="B301" s="61"/>
      <c r="C301" s="63"/>
      <c r="D301" s="63"/>
      <c r="E301" s="63" t="str">
        <f t="shared" si="5"/>
        <v/>
      </c>
    </row>
    <row r="302" spans="1:5">
      <c r="A302" s="63"/>
      <c r="B302" s="61"/>
      <c r="C302" s="63"/>
      <c r="D302" s="63"/>
      <c r="E302" s="63" t="str">
        <f t="shared" si="5"/>
        <v/>
      </c>
    </row>
    <row r="303" spans="1:5">
      <c r="A303" s="63"/>
      <c r="B303" s="61"/>
      <c r="C303" s="63"/>
      <c r="D303" s="63"/>
      <c r="E303" s="63" t="str">
        <f t="shared" si="5"/>
        <v/>
      </c>
    </row>
    <row r="304" spans="1:5">
      <c r="A304" s="63"/>
      <c r="B304" s="61"/>
      <c r="C304" s="63"/>
      <c r="D304" s="63"/>
      <c r="E304" s="63" t="str">
        <f t="shared" si="5"/>
        <v/>
      </c>
    </row>
    <row r="305" spans="1:5">
      <c r="A305" s="63"/>
      <c r="B305" s="61"/>
      <c r="C305" s="63"/>
      <c r="D305" s="63"/>
      <c r="E305" s="63" t="str">
        <f t="shared" si="5"/>
        <v/>
      </c>
    </row>
    <row r="306" spans="1:5">
      <c r="A306" s="63"/>
      <c r="B306" s="61"/>
      <c r="C306" s="63"/>
      <c r="D306" s="63"/>
      <c r="E306" s="63" t="str">
        <f t="shared" si="5"/>
        <v/>
      </c>
    </row>
    <row r="307" spans="1:5">
      <c r="A307" s="63"/>
      <c r="B307" s="61"/>
      <c r="C307" s="63"/>
      <c r="D307" s="63"/>
      <c r="E307" s="63" t="str">
        <f t="shared" si="5"/>
        <v/>
      </c>
    </row>
    <row r="308" spans="1:5">
      <c r="A308" s="63"/>
      <c r="B308" s="61"/>
      <c r="C308" s="63"/>
      <c r="D308" s="63"/>
      <c r="E308" s="63" t="str">
        <f t="shared" si="5"/>
        <v/>
      </c>
    </row>
    <row r="309" spans="1:5">
      <c r="A309" s="63"/>
      <c r="B309" s="61"/>
      <c r="C309" s="63"/>
      <c r="D309" s="63"/>
      <c r="E309" s="63" t="str">
        <f t="shared" si="5"/>
        <v/>
      </c>
    </row>
    <row r="310" spans="1:5">
      <c r="A310" s="63"/>
      <c r="B310" s="61"/>
      <c r="C310" s="63"/>
      <c r="D310" s="63"/>
      <c r="E310" s="63" t="str">
        <f t="shared" si="5"/>
        <v/>
      </c>
    </row>
    <row r="311" spans="1:5">
      <c r="A311" s="63"/>
      <c r="B311" s="61"/>
      <c r="C311" s="63"/>
      <c r="D311" s="63"/>
      <c r="E311" s="63" t="str">
        <f t="shared" si="5"/>
        <v/>
      </c>
    </row>
    <row r="312" spans="1:5">
      <c r="A312" s="63"/>
      <c r="B312" s="61"/>
      <c r="C312" s="63"/>
      <c r="D312" s="63"/>
      <c r="E312" s="63" t="str">
        <f t="shared" si="5"/>
        <v/>
      </c>
    </row>
    <row r="313" spans="1:5">
      <c r="A313" s="63"/>
      <c r="B313" s="61"/>
      <c r="C313" s="63"/>
      <c r="D313" s="63"/>
      <c r="E313" s="63" t="str">
        <f t="shared" si="5"/>
        <v/>
      </c>
    </row>
    <row r="314" spans="1:5">
      <c r="A314" s="63"/>
      <c r="B314" s="61"/>
      <c r="C314" s="63"/>
      <c r="D314" s="63"/>
      <c r="E314" s="63" t="str">
        <f t="shared" si="5"/>
        <v/>
      </c>
    </row>
    <row r="315" spans="1:5">
      <c r="A315" s="63"/>
      <c r="B315" s="61"/>
      <c r="C315" s="63"/>
      <c r="D315" s="63"/>
      <c r="E315" s="63" t="str">
        <f t="shared" si="5"/>
        <v/>
      </c>
    </row>
    <row r="316" spans="1:5">
      <c r="A316" s="63"/>
      <c r="B316" s="61"/>
      <c r="C316" s="63"/>
      <c r="D316" s="63"/>
      <c r="E316" s="63" t="str">
        <f t="shared" si="5"/>
        <v/>
      </c>
    </row>
    <row r="317" spans="1:5">
      <c r="A317" s="63"/>
      <c r="B317" s="61"/>
      <c r="C317" s="63"/>
      <c r="D317" s="63"/>
      <c r="E317" s="63" t="str">
        <f t="shared" si="5"/>
        <v/>
      </c>
    </row>
    <row r="318" spans="1:5">
      <c r="A318" s="63"/>
      <c r="B318" s="61"/>
      <c r="C318" s="63"/>
      <c r="D318" s="63"/>
      <c r="E318" s="63" t="str">
        <f t="shared" si="5"/>
        <v/>
      </c>
    </row>
    <row r="319" spans="1:5">
      <c r="A319" s="63"/>
      <c r="B319" s="61"/>
      <c r="C319" s="63"/>
      <c r="D319" s="63"/>
      <c r="E319" s="63" t="str">
        <f t="shared" si="5"/>
        <v/>
      </c>
    </row>
    <row r="320" spans="1:5">
      <c r="A320" s="63"/>
      <c r="B320" s="61"/>
      <c r="C320" s="63"/>
      <c r="D320" s="63"/>
      <c r="E320" s="63" t="str">
        <f t="shared" si="5"/>
        <v/>
      </c>
    </row>
    <row r="321" spans="1:5">
      <c r="A321" s="63"/>
      <c r="B321" s="61"/>
      <c r="C321" s="63"/>
      <c r="D321" s="63"/>
      <c r="E321" s="63" t="str">
        <f t="shared" si="5"/>
        <v/>
      </c>
    </row>
    <row r="322" spans="1:5">
      <c r="A322" s="63"/>
      <c r="B322" s="61"/>
      <c r="C322" s="63"/>
      <c r="D322" s="63"/>
      <c r="E322" s="63" t="str">
        <f t="shared" si="5"/>
        <v/>
      </c>
    </row>
    <row r="323" spans="1:5">
      <c r="A323" s="63"/>
      <c r="B323" s="61"/>
      <c r="C323" s="63"/>
      <c r="D323" s="63"/>
      <c r="E323" s="63" t="str">
        <f t="shared" si="5"/>
        <v/>
      </c>
    </row>
    <row r="324" spans="1:5">
      <c r="A324" s="63"/>
      <c r="B324" s="61"/>
      <c r="C324" s="63"/>
      <c r="D324" s="63"/>
      <c r="E324" s="63" t="str">
        <f t="shared" si="5"/>
        <v/>
      </c>
    </row>
    <row r="325" spans="1:5">
      <c r="A325" s="63"/>
      <c r="B325" s="61"/>
      <c r="C325" s="63"/>
      <c r="D325" s="63"/>
      <c r="E325" s="63" t="str">
        <f t="shared" ref="E325:E388" si="6">IFERROR(VLOOKUP(D325,T_Indices,5,FALSE),"")</f>
        <v/>
      </c>
    </row>
    <row r="326" spans="1:5">
      <c r="A326" s="63"/>
      <c r="B326" s="61"/>
      <c r="C326" s="63"/>
      <c r="D326" s="63"/>
      <c r="E326" s="63" t="str">
        <f t="shared" si="6"/>
        <v/>
      </c>
    </row>
    <row r="327" spans="1:5">
      <c r="A327" s="63"/>
      <c r="B327" s="61"/>
      <c r="C327" s="63"/>
      <c r="D327" s="63"/>
      <c r="E327" s="63" t="str">
        <f t="shared" si="6"/>
        <v/>
      </c>
    </row>
    <row r="328" spans="1:5">
      <c r="A328" s="63"/>
      <c r="B328" s="61"/>
      <c r="C328" s="63"/>
      <c r="D328" s="63"/>
      <c r="E328" s="63" t="str">
        <f t="shared" si="6"/>
        <v/>
      </c>
    </row>
    <row r="329" spans="1:5">
      <c r="A329" s="63"/>
      <c r="B329" s="61"/>
      <c r="C329" s="63"/>
      <c r="D329" s="63"/>
      <c r="E329" s="63" t="str">
        <f t="shared" si="6"/>
        <v/>
      </c>
    </row>
    <row r="330" spans="1:5">
      <c r="A330" s="63"/>
      <c r="B330" s="61"/>
      <c r="C330" s="63"/>
      <c r="D330" s="63"/>
      <c r="E330" s="63" t="str">
        <f t="shared" si="6"/>
        <v/>
      </c>
    </row>
    <row r="331" spans="1:5">
      <c r="A331" s="63"/>
      <c r="B331" s="61"/>
      <c r="C331" s="63"/>
      <c r="D331" s="63"/>
      <c r="E331" s="63" t="str">
        <f t="shared" si="6"/>
        <v/>
      </c>
    </row>
    <row r="332" spans="1:5">
      <c r="A332" s="63"/>
      <c r="B332" s="61"/>
      <c r="C332" s="63"/>
      <c r="D332" s="63"/>
      <c r="E332" s="63" t="str">
        <f t="shared" si="6"/>
        <v/>
      </c>
    </row>
    <row r="333" spans="1:5">
      <c r="A333" s="63"/>
      <c r="B333" s="61"/>
      <c r="C333" s="63"/>
      <c r="D333" s="63"/>
      <c r="E333" s="63" t="str">
        <f t="shared" si="6"/>
        <v/>
      </c>
    </row>
    <row r="334" spans="1:5">
      <c r="A334" s="63"/>
      <c r="B334" s="61"/>
      <c r="C334" s="63"/>
      <c r="D334" s="63"/>
      <c r="E334" s="63" t="str">
        <f t="shared" si="6"/>
        <v/>
      </c>
    </row>
    <row r="335" spans="1:5">
      <c r="A335" s="63"/>
      <c r="B335" s="61"/>
      <c r="C335" s="63"/>
      <c r="D335" s="63"/>
      <c r="E335" s="63" t="str">
        <f t="shared" si="6"/>
        <v/>
      </c>
    </row>
    <row r="336" spans="1:5">
      <c r="A336" s="63"/>
      <c r="B336" s="61"/>
      <c r="C336" s="63"/>
      <c r="D336" s="63"/>
      <c r="E336" s="63" t="str">
        <f t="shared" si="6"/>
        <v/>
      </c>
    </row>
    <row r="337" spans="1:5">
      <c r="A337" s="63"/>
      <c r="B337" s="61"/>
      <c r="C337" s="63"/>
      <c r="D337" s="63"/>
      <c r="E337" s="63" t="str">
        <f t="shared" si="6"/>
        <v/>
      </c>
    </row>
    <row r="338" spans="1:5">
      <c r="A338" s="63"/>
      <c r="B338" s="61"/>
      <c r="C338" s="63"/>
      <c r="D338" s="63"/>
      <c r="E338" s="63" t="str">
        <f t="shared" si="6"/>
        <v/>
      </c>
    </row>
    <row r="339" spans="1:5">
      <c r="A339" s="63"/>
      <c r="B339" s="61"/>
      <c r="C339" s="63"/>
      <c r="D339" s="63"/>
      <c r="E339" s="63" t="str">
        <f t="shared" si="6"/>
        <v/>
      </c>
    </row>
    <row r="340" spans="1:5">
      <c r="A340" s="63"/>
      <c r="B340" s="61"/>
      <c r="C340" s="63"/>
      <c r="D340" s="63"/>
      <c r="E340" s="63" t="str">
        <f t="shared" si="6"/>
        <v/>
      </c>
    </row>
    <row r="341" spans="1:5">
      <c r="A341" s="63"/>
      <c r="B341" s="61"/>
      <c r="C341" s="63"/>
      <c r="D341" s="63"/>
      <c r="E341" s="63" t="str">
        <f t="shared" si="6"/>
        <v/>
      </c>
    </row>
    <row r="342" spans="1:5">
      <c r="A342" s="63"/>
      <c r="B342" s="61"/>
      <c r="C342" s="63"/>
      <c r="D342" s="63"/>
      <c r="E342" s="63" t="str">
        <f t="shared" si="6"/>
        <v/>
      </c>
    </row>
    <row r="343" spans="1:5">
      <c r="A343" s="63"/>
      <c r="B343" s="61"/>
      <c r="C343" s="63"/>
      <c r="D343" s="63"/>
      <c r="E343" s="63" t="str">
        <f t="shared" si="6"/>
        <v/>
      </c>
    </row>
    <row r="344" spans="1:5">
      <c r="A344" s="63"/>
      <c r="B344" s="61"/>
      <c r="C344" s="63"/>
      <c r="D344" s="63"/>
      <c r="E344" s="63" t="str">
        <f t="shared" si="6"/>
        <v/>
      </c>
    </row>
    <row r="345" spans="1:5">
      <c r="A345" s="63"/>
      <c r="B345" s="61"/>
      <c r="C345" s="63"/>
      <c r="D345" s="63"/>
      <c r="E345" s="63" t="str">
        <f t="shared" si="6"/>
        <v/>
      </c>
    </row>
    <row r="346" spans="1:5">
      <c r="A346" s="63"/>
      <c r="B346" s="61"/>
      <c r="C346" s="63"/>
      <c r="D346" s="63"/>
      <c r="E346" s="63" t="str">
        <f t="shared" si="6"/>
        <v/>
      </c>
    </row>
    <row r="347" spans="1:5">
      <c r="A347" s="63"/>
      <c r="B347" s="61"/>
      <c r="C347" s="63"/>
      <c r="D347" s="63"/>
      <c r="E347" s="63" t="str">
        <f t="shared" si="6"/>
        <v/>
      </c>
    </row>
    <row r="348" spans="1:5">
      <c r="A348" s="63"/>
      <c r="B348" s="61"/>
      <c r="C348" s="63"/>
      <c r="D348" s="63"/>
      <c r="E348" s="63" t="str">
        <f t="shared" si="6"/>
        <v/>
      </c>
    </row>
    <row r="349" spans="1:5">
      <c r="A349" s="63"/>
      <c r="B349" s="61"/>
      <c r="C349" s="63"/>
      <c r="D349" s="63"/>
      <c r="E349" s="63" t="str">
        <f t="shared" si="6"/>
        <v/>
      </c>
    </row>
    <row r="350" spans="1:5">
      <c r="A350" s="63"/>
      <c r="B350" s="61"/>
      <c r="C350" s="63"/>
      <c r="D350" s="63"/>
      <c r="E350" s="63" t="str">
        <f t="shared" si="6"/>
        <v/>
      </c>
    </row>
    <row r="351" spans="1:5">
      <c r="A351" s="63"/>
      <c r="B351" s="61"/>
      <c r="C351" s="63"/>
      <c r="D351" s="63"/>
      <c r="E351" s="63" t="str">
        <f t="shared" si="6"/>
        <v/>
      </c>
    </row>
    <row r="352" spans="1:5">
      <c r="A352" s="63"/>
      <c r="B352" s="61"/>
      <c r="C352" s="63"/>
      <c r="D352" s="63"/>
      <c r="E352" s="63" t="str">
        <f t="shared" si="6"/>
        <v/>
      </c>
    </row>
    <row r="353" spans="1:5">
      <c r="A353" s="63"/>
      <c r="B353" s="61"/>
      <c r="C353" s="63"/>
      <c r="D353" s="63"/>
      <c r="E353" s="63" t="str">
        <f t="shared" si="6"/>
        <v/>
      </c>
    </row>
    <row r="354" spans="1:5">
      <c r="A354" s="63"/>
      <c r="B354" s="61"/>
      <c r="C354" s="63"/>
      <c r="D354" s="63"/>
      <c r="E354" s="63" t="str">
        <f t="shared" si="6"/>
        <v/>
      </c>
    </row>
    <row r="355" spans="1:5">
      <c r="A355" s="63"/>
      <c r="B355" s="61"/>
      <c r="C355" s="63"/>
      <c r="D355" s="63"/>
      <c r="E355" s="63" t="str">
        <f t="shared" si="6"/>
        <v/>
      </c>
    </row>
    <row r="356" spans="1:5">
      <c r="A356" s="63"/>
      <c r="B356" s="61"/>
      <c r="C356" s="63"/>
      <c r="D356" s="63"/>
      <c r="E356" s="63" t="str">
        <f t="shared" si="6"/>
        <v/>
      </c>
    </row>
    <row r="357" spans="1:5">
      <c r="A357" s="63"/>
      <c r="B357" s="61"/>
      <c r="C357" s="63"/>
      <c r="D357" s="63"/>
      <c r="E357" s="63" t="str">
        <f t="shared" si="6"/>
        <v/>
      </c>
    </row>
    <row r="358" spans="1:5">
      <c r="A358" s="63"/>
      <c r="B358" s="61"/>
      <c r="C358" s="63"/>
      <c r="D358" s="63"/>
      <c r="E358" s="63" t="str">
        <f t="shared" si="6"/>
        <v/>
      </c>
    </row>
    <row r="359" spans="1:5">
      <c r="A359" s="63"/>
      <c r="B359" s="61"/>
      <c r="C359" s="63"/>
      <c r="D359" s="63"/>
      <c r="E359" s="63" t="str">
        <f t="shared" si="6"/>
        <v/>
      </c>
    </row>
    <row r="360" spans="1:5">
      <c r="A360" s="63"/>
      <c r="B360" s="61"/>
      <c r="C360" s="63"/>
      <c r="D360" s="63"/>
      <c r="E360" s="63" t="str">
        <f t="shared" si="6"/>
        <v/>
      </c>
    </row>
    <row r="361" spans="1:5">
      <c r="A361" s="63"/>
      <c r="B361" s="61"/>
      <c r="C361" s="63"/>
      <c r="D361" s="63"/>
      <c r="E361" s="63" t="str">
        <f t="shared" si="6"/>
        <v/>
      </c>
    </row>
    <row r="362" spans="1:5">
      <c r="A362" s="63"/>
      <c r="B362" s="61"/>
      <c r="C362" s="63"/>
      <c r="D362" s="63"/>
      <c r="E362" s="63" t="str">
        <f t="shared" si="6"/>
        <v/>
      </c>
    </row>
    <row r="363" spans="1:5">
      <c r="A363" s="63"/>
      <c r="B363" s="61"/>
      <c r="C363" s="63"/>
      <c r="D363" s="63"/>
      <c r="E363" s="63" t="str">
        <f t="shared" si="6"/>
        <v/>
      </c>
    </row>
    <row r="364" spans="1:5">
      <c r="A364" s="63"/>
      <c r="B364" s="61"/>
      <c r="C364" s="63"/>
      <c r="D364" s="63"/>
      <c r="E364" s="63" t="str">
        <f t="shared" si="6"/>
        <v/>
      </c>
    </row>
    <row r="365" spans="1:5">
      <c r="A365" s="63"/>
      <c r="B365" s="61"/>
      <c r="C365" s="63"/>
      <c r="D365" s="63"/>
      <c r="E365" s="63" t="str">
        <f t="shared" si="6"/>
        <v/>
      </c>
    </row>
    <row r="366" spans="1:5">
      <c r="A366" s="63"/>
      <c r="B366" s="61"/>
      <c r="C366" s="63"/>
      <c r="D366" s="63"/>
      <c r="E366" s="63" t="str">
        <f t="shared" si="6"/>
        <v/>
      </c>
    </row>
    <row r="367" spans="1:5">
      <c r="A367" s="63"/>
      <c r="B367" s="61"/>
      <c r="C367" s="63"/>
      <c r="D367" s="63"/>
      <c r="E367" s="63" t="str">
        <f t="shared" si="6"/>
        <v/>
      </c>
    </row>
    <row r="368" spans="1:5">
      <c r="A368" s="63"/>
      <c r="B368" s="61"/>
      <c r="C368" s="63"/>
      <c r="D368" s="63"/>
      <c r="E368" s="63" t="str">
        <f t="shared" si="6"/>
        <v/>
      </c>
    </row>
    <row r="369" spans="1:5">
      <c r="A369" s="63"/>
      <c r="B369" s="61"/>
      <c r="C369" s="63"/>
      <c r="D369" s="63"/>
      <c r="E369" s="63" t="str">
        <f t="shared" si="6"/>
        <v/>
      </c>
    </row>
    <row r="370" spans="1:5">
      <c r="A370" s="63"/>
      <c r="B370" s="61"/>
      <c r="C370" s="63"/>
      <c r="D370" s="63"/>
      <c r="E370" s="63" t="str">
        <f t="shared" si="6"/>
        <v/>
      </c>
    </row>
    <row r="371" spans="1:5">
      <c r="A371" s="63"/>
      <c r="B371" s="61"/>
      <c r="C371" s="63"/>
      <c r="D371" s="63"/>
      <c r="E371" s="63" t="str">
        <f t="shared" si="6"/>
        <v/>
      </c>
    </row>
    <row r="372" spans="1:5">
      <c r="A372" s="63"/>
      <c r="B372" s="61"/>
      <c r="C372" s="63"/>
      <c r="D372" s="63"/>
      <c r="E372" s="63" t="str">
        <f t="shared" si="6"/>
        <v/>
      </c>
    </row>
    <row r="373" spans="1:5">
      <c r="A373" s="63"/>
      <c r="B373" s="61"/>
      <c r="C373" s="63"/>
      <c r="D373" s="63"/>
      <c r="E373" s="63" t="str">
        <f t="shared" si="6"/>
        <v/>
      </c>
    </row>
    <row r="374" spans="1:5">
      <c r="A374" s="63"/>
      <c r="B374" s="61"/>
      <c r="C374" s="63"/>
      <c r="D374" s="63"/>
      <c r="E374" s="63" t="str">
        <f t="shared" si="6"/>
        <v/>
      </c>
    </row>
    <row r="375" spans="1:5">
      <c r="A375" s="63"/>
      <c r="B375" s="61"/>
      <c r="C375" s="63"/>
      <c r="D375" s="63"/>
      <c r="E375" s="63" t="str">
        <f t="shared" si="6"/>
        <v/>
      </c>
    </row>
    <row r="376" spans="1:5">
      <c r="A376" s="63"/>
      <c r="B376" s="61"/>
      <c r="C376" s="63"/>
      <c r="D376" s="63"/>
      <c r="E376" s="63" t="str">
        <f t="shared" si="6"/>
        <v/>
      </c>
    </row>
    <row r="377" spans="1:5">
      <c r="A377" s="63"/>
      <c r="B377" s="61"/>
      <c r="C377" s="63"/>
      <c r="D377" s="63"/>
      <c r="E377" s="63" t="str">
        <f t="shared" si="6"/>
        <v/>
      </c>
    </row>
    <row r="378" spans="1:5">
      <c r="A378" s="63"/>
      <c r="B378" s="61"/>
      <c r="C378" s="63"/>
      <c r="D378" s="63"/>
      <c r="E378" s="63" t="str">
        <f t="shared" si="6"/>
        <v/>
      </c>
    </row>
    <row r="379" spans="1:5">
      <c r="A379" s="63"/>
      <c r="B379" s="61"/>
      <c r="C379" s="63"/>
      <c r="D379" s="63"/>
      <c r="E379" s="63" t="str">
        <f t="shared" si="6"/>
        <v/>
      </c>
    </row>
    <row r="380" spans="1:5">
      <c r="A380" s="63"/>
      <c r="B380" s="61"/>
      <c r="C380" s="63"/>
      <c r="D380" s="63"/>
      <c r="E380" s="63" t="str">
        <f t="shared" si="6"/>
        <v/>
      </c>
    </row>
    <row r="381" spans="1:5">
      <c r="A381" s="63"/>
      <c r="B381" s="61"/>
      <c r="C381" s="63"/>
      <c r="D381" s="63"/>
      <c r="E381" s="63" t="str">
        <f t="shared" si="6"/>
        <v/>
      </c>
    </row>
    <row r="382" spans="1:5">
      <c r="A382" s="63"/>
      <c r="B382" s="61"/>
      <c r="C382" s="63"/>
      <c r="D382" s="63"/>
      <c r="E382" s="63" t="str">
        <f t="shared" si="6"/>
        <v/>
      </c>
    </row>
    <row r="383" spans="1:5">
      <c r="A383" s="63"/>
      <c r="B383" s="61"/>
      <c r="C383" s="63"/>
      <c r="D383" s="63"/>
      <c r="E383" s="63" t="str">
        <f t="shared" si="6"/>
        <v/>
      </c>
    </row>
    <row r="384" spans="1:5">
      <c r="A384" s="63"/>
      <c r="B384" s="61"/>
      <c r="C384" s="63"/>
      <c r="D384" s="63"/>
      <c r="E384" s="63" t="str">
        <f t="shared" si="6"/>
        <v/>
      </c>
    </row>
    <row r="385" spans="1:5">
      <c r="A385" s="63"/>
      <c r="B385" s="61"/>
      <c r="C385" s="63"/>
      <c r="D385" s="63"/>
      <c r="E385" s="63" t="str">
        <f t="shared" si="6"/>
        <v/>
      </c>
    </row>
    <row r="386" spans="1:5">
      <c r="A386" s="63"/>
      <c r="B386" s="61"/>
      <c r="C386" s="63"/>
      <c r="D386" s="63"/>
      <c r="E386" s="63" t="str">
        <f t="shared" si="6"/>
        <v/>
      </c>
    </row>
    <row r="387" spans="1:5">
      <c r="A387" s="63"/>
      <c r="B387" s="61"/>
      <c r="C387" s="63"/>
      <c r="D387" s="63"/>
      <c r="E387" s="63" t="str">
        <f t="shared" si="6"/>
        <v/>
      </c>
    </row>
    <row r="388" spans="1:5">
      <c r="A388" s="63"/>
      <c r="B388" s="61"/>
      <c r="C388" s="63"/>
      <c r="D388" s="63"/>
      <c r="E388" s="63" t="str">
        <f t="shared" si="6"/>
        <v/>
      </c>
    </row>
    <row r="389" spans="1:5">
      <c r="A389" s="63"/>
      <c r="B389" s="61"/>
      <c r="C389" s="63"/>
      <c r="D389" s="63"/>
      <c r="E389" s="63" t="str">
        <f t="shared" ref="E389:E452" si="7">IFERROR(VLOOKUP(D389,T_Indices,5,FALSE),"")</f>
        <v/>
      </c>
    </row>
    <row r="390" spans="1:5">
      <c r="A390" s="63"/>
      <c r="B390" s="61"/>
      <c r="C390" s="63"/>
      <c r="D390" s="63"/>
      <c r="E390" s="63" t="str">
        <f t="shared" si="7"/>
        <v/>
      </c>
    </row>
    <row r="391" spans="1:5">
      <c r="A391" s="63"/>
      <c r="B391" s="61"/>
      <c r="C391" s="63"/>
      <c r="D391" s="63"/>
      <c r="E391" s="63" t="str">
        <f t="shared" si="7"/>
        <v/>
      </c>
    </row>
    <row r="392" spans="1:5">
      <c r="A392" s="63"/>
      <c r="B392" s="61"/>
      <c r="C392" s="63"/>
      <c r="D392" s="63"/>
      <c r="E392" s="63" t="str">
        <f t="shared" si="7"/>
        <v/>
      </c>
    </row>
    <row r="393" spans="1:5">
      <c r="A393" s="63"/>
      <c r="B393" s="61"/>
      <c r="C393" s="63"/>
      <c r="D393" s="63"/>
      <c r="E393" s="63" t="str">
        <f t="shared" si="7"/>
        <v/>
      </c>
    </row>
    <row r="394" spans="1:5">
      <c r="A394" s="63"/>
      <c r="B394" s="61"/>
      <c r="C394" s="63"/>
      <c r="D394" s="63"/>
      <c r="E394" s="63" t="str">
        <f t="shared" si="7"/>
        <v/>
      </c>
    </row>
    <row r="395" spans="1:5">
      <c r="A395" s="63"/>
      <c r="B395" s="61"/>
      <c r="C395" s="63"/>
      <c r="D395" s="63"/>
      <c r="E395" s="63" t="str">
        <f t="shared" si="7"/>
        <v/>
      </c>
    </row>
    <row r="396" spans="1:5">
      <c r="A396" s="63"/>
      <c r="B396" s="61"/>
      <c r="C396" s="63"/>
      <c r="D396" s="63"/>
      <c r="E396" s="63" t="str">
        <f t="shared" si="7"/>
        <v/>
      </c>
    </row>
    <row r="397" spans="1:5">
      <c r="A397" s="63"/>
      <c r="B397" s="61"/>
      <c r="C397" s="63"/>
      <c r="D397" s="63"/>
      <c r="E397" s="63" t="str">
        <f t="shared" si="7"/>
        <v/>
      </c>
    </row>
    <row r="398" spans="1:5">
      <c r="A398" s="63"/>
      <c r="B398" s="61"/>
      <c r="C398" s="63"/>
      <c r="D398" s="63"/>
      <c r="E398" s="63" t="str">
        <f t="shared" si="7"/>
        <v/>
      </c>
    </row>
    <row r="399" spans="1:5">
      <c r="A399" s="63"/>
      <c r="B399" s="61"/>
      <c r="C399" s="63"/>
      <c r="D399" s="63"/>
      <c r="E399" s="63" t="str">
        <f t="shared" si="7"/>
        <v/>
      </c>
    </row>
    <row r="400" spans="1:5">
      <c r="A400" s="63"/>
      <c r="B400" s="61"/>
      <c r="C400" s="63"/>
      <c r="D400" s="63"/>
      <c r="E400" s="63" t="str">
        <f t="shared" si="7"/>
        <v/>
      </c>
    </row>
    <row r="401" spans="1:5">
      <c r="A401" s="63"/>
      <c r="B401" s="61"/>
      <c r="C401" s="63"/>
      <c r="D401" s="63"/>
      <c r="E401" s="63" t="str">
        <f t="shared" si="7"/>
        <v/>
      </c>
    </row>
    <row r="402" spans="1:5">
      <c r="A402" s="63"/>
      <c r="B402" s="61"/>
      <c r="C402" s="63"/>
      <c r="D402" s="63"/>
      <c r="E402" s="63" t="str">
        <f t="shared" si="7"/>
        <v/>
      </c>
    </row>
    <row r="403" spans="1:5">
      <c r="A403" s="63"/>
      <c r="B403" s="61"/>
      <c r="C403" s="63"/>
      <c r="D403" s="63"/>
      <c r="E403" s="63" t="str">
        <f t="shared" si="7"/>
        <v/>
      </c>
    </row>
    <row r="404" spans="1:5">
      <c r="A404" s="63"/>
      <c r="B404" s="61"/>
      <c r="C404" s="63"/>
      <c r="D404" s="63"/>
      <c r="E404" s="63" t="str">
        <f t="shared" si="7"/>
        <v/>
      </c>
    </row>
    <row r="405" spans="1:5">
      <c r="A405" s="63"/>
      <c r="B405" s="61"/>
      <c r="C405" s="63"/>
      <c r="D405" s="63"/>
      <c r="E405" s="63" t="str">
        <f t="shared" si="7"/>
        <v/>
      </c>
    </row>
    <row r="406" spans="1:5">
      <c r="A406" s="63"/>
      <c r="B406" s="61"/>
      <c r="C406" s="63"/>
      <c r="D406" s="63"/>
      <c r="E406" s="63" t="str">
        <f t="shared" si="7"/>
        <v/>
      </c>
    </row>
    <row r="407" spans="1:5">
      <c r="A407" s="63"/>
      <c r="B407" s="61"/>
      <c r="C407" s="63"/>
      <c r="D407" s="63"/>
      <c r="E407" s="63" t="str">
        <f t="shared" si="7"/>
        <v/>
      </c>
    </row>
    <row r="408" spans="1:5">
      <c r="A408" s="63"/>
      <c r="B408" s="61"/>
      <c r="C408" s="63"/>
      <c r="D408" s="63"/>
      <c r="E408" s="63" t="str">
        <f t="shared" si="7"/>
        <v/>
      </c>
    </row>
    <row r="409" spans="1:5">
      <c r="A409" s="63"/>
      <c r="B409" s="61"/>
      <c r="C409" s="63"/>
      <c r="D409" s="63"/>
      <c r="E409" s="63" t="str">
        <f t="shared" si="7"/>
        <v/>
      </c>
    </row>
    <row r="410" spans="1:5">
      <c r="A410" s="63"/>
      <c r="B410" s="61"/>
      <c r="C410" s="63"/>
      <c r="D410" s="63"/>
      <c r="E410" s="63" t="str">
        <f t="shared" si="7"/>
        <v/>
      </c>
    </row>
    <row r="411" spans="1:5">
      <c r="A411" s="63"/>
      <c r="B411" s="61"/>
      <c r="C411" s="63"/>
      <c r="D411" s="63"/>
      <c r="E411" s="63" t="str">
        <f t="shared" si="7"/>
        <v/>
      </c>
    </row>
    <row r="412" spans="1:5">
      <c r="A412" s="63"/>
      <c r="B412" s="61"/>
      <c r="C412" s="63"/>
      <c r="D412" s="63"/>
      <c r="E412" s="63" t="str">
        <f t="shared" si="7"/>
        <v/>
      </c>
    </row>
    <row r="413" spans="1:5">
      <c r="A413" s="63"/>
      <c r="B413" s="61"/>
      <c r="C413" s="63"/>
      <c r="D413" s="63"/>
      <c r="E413" s="63" t="str">
        <f t="shared" si="7"/>
        <v/>
      </c>
    </row>
    <row r="414" spans="1:5">
      <c r="A414" s="63"/>
      <c r="B414" s="61"/>
      <c r="C414" s="63"/>
      <c r="D414" s="63"/>
      <c r="E414" s="63" t="str">
        <f t="shared" si="7"/>
        <v/>
      </c>
    </row>
    <row r="415" spans="1:5">
      <c r="A415" s="63"/>
      <c r="B415" s="61"/>
      <c r="C415" s="63"/>
      <c r="D415" s="63"/>
      <c r="E415" s="63" t="str">
        <f t="shared" si="7"/>
        <v/>
      </c>
    </row>
    <row r="416" spans="1:5">
      <c r="A416" s="63"/>
      <c r="B416" s="61"/>
      <c r="C416" s="63"/>
      <c r="D416" s="63"/>
      <c r="E416" s="63" t="str">
        <f t="shared" si="7"/>
        <v/>
      </c>
    </row>
    <row r="417" spans="1:5">
      <c r="A417" s="63"/>
      <c r="B417" s="61"/>
      <c r="C417" s="63"/>
      <c r="D417" s="63"/>
      <c r="E417" s="63" t="str">
        <f t="shared" si="7"/>
        <v/>
      </c>
    </row>
    <row r="418" spans="1:5">
      <c r="A418" s="63"/>
      <c r="B418" s="61"/>
      <c r="C418" s="63"/>
      <c r="D418" s="63"/>
      <c r="E418" s="63" t="str">
        <f t="shared" si="7"/>
        <v/>
      </c>
    </row>
    <row r="419" spans="1:5">
      <c r="A419" s="63"/>
      <c r="B419" s="61"/>
      <c r="C419" s="63"/>
      <c r="D419" s="63"/>
      <c r="E419" s="63" t="str">
        <f t="shared" si="7"/>
        <v/>
      </c>
    </row>
    <row r="420" spans="1:5">
      <c r="A420" s="63"/>
      <c r="B420" s="61"/>
      <c r="C420" s="63"/>
      <c r="D420" s="63"/>
      <c r="E420" s="63" t="str">
        <f t="shared" si="7"/>
        <v/>
      </c>
    </row>
    <row r="421" spans="1:5">
      <c r="A421" s="63"/>
      <c r="B421" s="61"/>
      <c r="C421" s="63"/>
      <c r="D421" s="63"/>
      <c r="E421" s="63" t="str">
        <f t="shared" si="7"/>
        <v/>
      </c>
    </row>
    <row r="422" spans="1:5">
      <c r="A422" s="63"/>
      <c r="B422" s="61"/>
      <c r="C422" s="63"/>
      <c r="D422" s="63"/>
      <c r="E422" s="63" t="str">
        <f t="shared" si="7"/>
        <v/>
      </c>
    </row>
    <row r="423" spans="1:5">
      <c r="A423" s="63"/>
      <c r="B423" s="61"/>
      <c r="C423" s="63"/>
      <c r="D423" s="63"/>
      <c r="E423" s="63" t="str">
        <f t="shared" si="7"/>
        <v/>
      </c>
    </row>
    <row r="424" spans="1:5">
      <c r="A424" s="63"/>
      <c r="B424" s="61"/>
      <c r="C424" s="63"/>
      <c r="D424" s="63"/>
      <c r="E424" s="63" t="str">
        <f t="shared" si="7"/>
        <v/>
      </c>
    </row>
    <row r="425" spans="1:5">
      <c r="A425" s="63"/>
      <c r="B425" s="61"/>
      <c r="C425" s="63"/>
      <c r="D425" s="63"/>
      <c r="E425" s="63" t="str">
        <f t="shared" si="7"/>
        <v/>
      </c>
    </row>
    <row r="426" spans="1:5">
      <c r="A426" s="63"/>
      <c r="B426" s="61"/>
      <c r="C426" s="63"/>
      <c r="D426" s="63"/>
      <c r="E426" s="63" t="str">
        <f t="shared" si="7"/>
        <v/>
      </c>
    </row>
    <row r="427" spans="1:5">
      <c r="A427" s="63"/>
      <c r="B427" s="61"/>
      <c r="C427" s="63"/>
      <c r="D427" s="63"/>
      <c r="E427" s="63" t="str">
        <f t="shared" si="7"/>
        <v/>
      </c>
    </row>
    <row r="428" spans="1:5">
      <c r="A428" s="63"/>
      <c r="B428" s="61"/>
      <c r="C428" s="63"/>
      <c r="D428" s="63"/>
      <c r="E428" s="63" t="str">
        <f t="shared" si="7"/>
        <v/>
      </c>
    </row>
    <row r="429" spans="1:5">
      <c r="A429" s="63"/>
      <c r="B429" s="61"/>
      <c r="C429" s="63"/>
      <c r="D429" s="63"/>
      <c r="E429" s="63" t="str">
        <f t="shared" si="7"/>
        <v/>
      </c>
    </row>
    <row r="430" spans="1:5">
      <c r="A430" s="63"/>
      <c r="B430" s="61"/>
      <c r="C430" s="63"/>
      <c r="D430" s="63"/>
      <c r="E430" s="63" t="str">
        <f t="shared" si="7"/>
        <v/>
      </c>
    </row>
    <row r="431" spans="1:5">
      <c r="A431" s="63"/>
      <c r="B431" s="61"/>
      <c r="C431" s="63"/>
      <c r="D431" s="63"/>
      <c r="E431" s="63" t="str">
        <f t="shared" si="7"/>
        <v/>
      </c>
    </row>
    <row r="432" spans="1:5">
      <c r="A432" s="63"/>
      <c r="B432" s="61"/>
      <c r="C432" s="63"/>
      <c r="D432" s="63"/>
      <c r="E432" s="63" t="str">
        <f t="shared" si="7"/>
        <v/>
      </c>
    </row>
    <row r="433" spans="1:5">
      <c r="A433" s="63"/>
      <c r="B433" s="61"/>
      <c r="C433" s="63"/>
      <c r="D433" s="63"/>
      <c r="E433" s="63" t="str">
        <f t="shared" si="7"/>
        <v/>
      </c>
    </row>
    <row r="434" spans="1:5">
      <c r="A434" s="63"/>
      <c r="B434" s="61"/>
      <c r="C434" s="63"/>
      <c r="D434" s="63"/>
      <c r="E434" s="63" t="str">
        <f t="shared" si="7"/>
        <v/>
      </c>
    </row>
    <row r="435" spans="1:5">
      <c r="A435" s="63"/>
      <c r="B435" s="61"/>
      <c r="C435" s="63"/>
      <c r="D435" s="63"/>
      <c r="E435" s="63" t="str">
        <f t="shared" si="7"/>
        <v/>
      </c>
    </row>
    <row r="436" spans="1:5">
      <c r="A436" s="63"/>
      <c r="B436" s="61"/>
      <c r="C436" s="63"/>
      <c r="D436" s="63"/>
      <c r="E436" s="63" t="str">
        <f t="shared" si="7"/>
        <v/>
      </c>
    </row>
    <row r="437" spans="1:5">
      <c r="A437" s="63"/>
      <c r="B437" s="61"/>
      <c r="C437" s="63"/>
      <c r="D437" s="63"/>
      <c r="E437" s="63" t="str">
        <f t="shared" si="7"/>
        <v/>
      </c>
    </row>
    <row r="438" spans="1:5">
      <c r="A438" s="63"/>
      <c r="B438" s="61"/>
      <c r="C438" s="63"/>
      <c r="D438" s="63"/>
      <c r="E438" s="63" t="str">
        <f t="shared" si="7"/>
        <v/>
      </c>
    </row>
    <row r="439" spans="1:5">
      <c r="A439" s="63"/>
      <c r="B439" s="61"/>
      <c r="C439" s="63"/>
      <c r="D439" s="63"/>
      <c r="E439" s="63" t="str">
        <f t="shared" si="7"/>
        <v/>
      </c>
    </row>
    <row r="440" spans="1:5">
      <c r="A440" s="63"/>
      <c r="B440" s="61"/>
      <c r="C440" s="63"/>
      <c r="D440" s="63"/>
      <c r="E440" s="63" t="str">
        <f t="shared" si="7"/>
        <v/>
      </c>
    </row>
    <row r="441" spans="1:5">
      <c r="A441" s="63"/>
      <c r="B441" s="61"/>
      <c r="C441" s="63"/>
      <c r="D441" s="63"/>
      <c r="E441" s="63" t="str">
        <f t="shared" si="7"/>
        <v/>
      </c>
    </row>
    <row r="442" spans="1:5">
      <c r="A442" s="63"/>
      <c r="B442" s="61"/>
      <c r="C442" s="63"/>
      <c r="D442" s="63"/>
      <c r="E442" s="63" t="str">
        <f t="shared" si="7"/>
        <v/>
      </c>
    </row>
    <row r="443" spans="1:5">
      <c r="A443" s="63"/>
      <c r="B443" s="61"/>
      <c r="C443" s="63"/>
      <c r="D443" s="63"/>
      <c r="E443" s="63" t="str">
        <f t="shared" si="7"/>
        <v/>
      </c>
    </row>
    <row r="444" spans="1:5">
      <c r="A444" s="63"/>
      <c r="B444" s="61"/>
      <c r="C444" s="63"/>
      <c r="D444" s="63"/>
      <c r="E444" s="63" t="str">
        <f t="shared" si="7"/>
        <v/>
      </c>
    </row>
    <row r="445" spans="1:5">
      <c r="A445" s="63"/>
      <c r="B445" s="61"/>
      <c r="C445" s="63"/>
      <c r="D445" s="63"/>
      <c r="E445" s="63" t="str">
        <f t="shared" si="7"/>
        <v/>
      </c>
    </row>
    <row r="446" spans="1:5">
      <c r="A446" s="63"/>
      <c r="B446" s="61"/>
      <c r="C446" s="63"/>
      <c r="D446" s="63"/>
      <c r="E446" s="63" t="str">
        <f t="shared" si="7"/>
        <v/>
      </c>
    </row>
    <row r="447" spans="1:5">
      <c r="A447" s="63"/>
      <c r="B447" s="61"/>
      <c r="C447" s="63"/>
      <c r="D447" s="63"/>
      <c r="E447" s="63" t="str">
        <f t="shared" si="7"/>
        <v/>
      </c>
    </row>
    <row r="448" spans="1:5">
      <c r="A448" s="63"/>
      <c r="B448" s="61"/>
      <c r="C448" s="63"/>
      <c r="D448" s="63"/>
      <c r="E448" s="63" t="str">
        <f t="shared" si="7"/>
        <v/>
      </c>
    </row>
    <row r="449" spans="1:5">
      <c r="A449" s="63"/>
      <c r="B449" s="61"/>
      <c r="C449" s="63"/>
      <c r="D449" s="63"/>
      <c r="E449" s="63" t="str">
        <f t="shared" si="7"/>
        <v/>
      </c>
    </row>
    <row r="450" spans="1:5">
      <c r="A450" s="63"/>
      <c r="B450" s="61"/>
      <c r="C450" s="63"/>
      <c r="D450" s="63"/>
      <c r="E450" s="63" t="str">
        <f t="shared" si="7"/>
        <v/>
      </c>
    </row>
    <row r="451" spans="1:5">
      <c r="A451" s="63"/>
      <c r="B451" s="61"/>
      <c r="C451" s="63"/>
      <c r="D451" s="63"/>
      <c r="E451" s="63" t="str">
        <f t="shared" si="7"/>
        <v/>
      </c>
    </row>
    <row r="452" spans="1:5">
      <c r="A452" s="63"/>
      <c r="B452" s="61"/>
      <c r="C452" s="63"/>
      <c r="D452" s="63"/>
      <c r="E452" s="63" t="str">
        <f t="shared" si="7"/>
        <v/>
      </c>
    </row>
    <row r="453" spans="1:5">
      <c r="A453" s="63"/>
      <c r="B453" s="61"/>
      <c r="C453" s="63"/>
      <c r="D453" s="63"/>
      <c r="E453" s="63" t="str">
        <f t="shared" ref="E453:E516" si="8">IFERROR(VLOOKUP(D453,T_Indices,5,FALSE),"")</f>
        <v/>
      </c>
    </row>
    <row r="454" spans="1:5">
      <c r="A454" s="63"/>
      <c r="B454" s="61"/>
      <c r="C454" s="63"/>
      <c r="D454" s="63"/>
      <c r="E454" s="63" t="str">
        <f t="shared" si="8"/>
        <v/>
      </c>
    </row>
    <row r="455" spans="1:5">
      <c r="A455" s="63"/>
      <c r="B455" s="61"/>
      <c r="C455" s="63"/>
      <c r="D455" s="63"/>
      <c r="E455" s="63" t="str">
        <f t="shared" si="8"/>
        <v/>
      </c>
    </row>
    <row r="456" spans="1:5">
      <c r="A456" s="63"/>
      <c r="B456" s="61"/>
      <c r="C456" s="63"/>
      <c r="D456" s="63"/>
      <c r="E456" s="63" t="str">
        <f t="shared" si="8"/>
        <v/>
      </c>
    </row>
    <row r="457" spans="1:5">
      <c r="A457" s="63"/>
      <c r="B457" s="61"/>
      <c r="C457" s="63"/>
      <c r="D457" s="63"/>
      <c r="E457" s="63" t="str">
        <f t="shared" si="8"/>
        <v/>
      </c>
    </row>
    <row r="458" spans="1:5">
      <c r="A458" s="63"/>
      <c r="B458" s="61"/>
      <c r="C458" s="63"/>
      <c r="D458" s="63"/>
      <c r="E458" s="63" t="str">
        <f t="shared" si="8"/>
        <v/>
      </c>
    </row>
    <row r="459" spans="1:5">
      <c r="A459" s="63"/>
      <c r="B459" s="61"/>
      <c r="C459" s="63"/>
      <c r="D459" s="63"/>
      <c r="E459" s="63" t="str">
        <f t="shared" si="8"/>
        <v/>
      </c>
    </row>
    <row r="460" spans="1:5">
      <c r="A460" s="63"/>
      <c r="B460" s="61"/>
      <c r="C460" s="63"/>
      <c r="D460" s="63"/>
      <c r="E460" s="63" t="str">
        <f t="shared" si="8"/>
        <v/>
      </c>
    </row>
    <row r="461" spans="1:5">
      <c r="A461" s="63"/>
      <c r="B461" s="61"/>
      <c r="C461" s="63"/>
      <c r="D461" s="63"/>
      <c r="E461" s="63" t="str">
        <f t="shared" si="8"/>
        <v/>
      </c>
    </row>
    <row r="462" spans="1:5">
      <c r="A462" s="63"/>
      <c r="B462" s="61"/>
      <c r="C462" s="63"/>
      <c r="D462" s="63"/>
      <c r="E462" s="63" t="str">
        <f t="shared" si="8"/>
        <v/>
      </c>
    </row>
    <row r="463" spans="1:5">
      <c r="A463" s="63"/>
      <c r="B463" s="61"/>
      <c r="C463" s="63"/>
      <c r="D463" s="63"/>
      <c r="E463" s="63" t="str">
        <f t="shared" si="8"/>
        <v/>
      </c>
    </row>
    <row r="464" spans="1:5">
      <c r="A464" s="63"/>
      <c r="B464" s="61"/>
      <c r="C464" s="63"/>
      <c r="D464" s="63"/>
      <c r="E464" s="63" t="str">
        <f t="shared" si="8"/>
        <v/>
      </c>
    </row>
    <row r="465" spans="1:5">
      <c r="A465" s="63"/>
      <c r="B465" s="61"/>
      <c r="C465" s="63"/>
      <c r="D465" s="63"/>
      <c r="E465" s="63" t="str">
        <f t="shared" si="8"/>
        <v/>
      </c>
    </row>
    <row r="466" spans="1:5">
      <c r="A466" s="63"/>
      <c r="B466" s="61"/>
      <c r="C466" s="63"/>
      <c r="D466" s="63"/>
      <c r="E466" s="63" t="str">
        <f t="shared" si="8"/>
        <v/>
      </c>
    </row>
    <row r="467" spans="1:5">
      <c r="A467" s="63"/>
      <c r="B467" s="61"/>
      <c r="C467" s="63"/>
      <c r="D467" s="63"/>
      <c r="E467" s="63" t="str">
        <f t="shared" si="8"/>
        <v/>
      </c>
    </row>
    <row r="468" spans="1:5">
      <c r="A468" s="63"/>
      <c r="B468" s="61"/>
      <c r="C468" s="63"/>
      <c r="D468" s="63"/>
      <c r="E468" s="63" t="str">
        <f t="shared" si="8"/>
        <v/>
      </c>
    </row>
    <row r="469" spans="1:5">
      <c r="A469" s="63"/>
      <c r="B469" s="61"/>
      <c r="C469" s="63"/>
      <c r="D469" s="63"/>
      <c r="E469" s="63" t="str">
        <f t="shared" si="8"/>
        <v/>
      </c>
    </row>
    <row r="470" spans="1:5">
      <c r="A470" s="63"/>
      <c r="B470" s="61"/>
      <c r="C470" s="63"/>
      <c r="D470" s="63"/>
      <c r="E470" s="63" t="str">
        <f t="shared" si="8"/>
        <v/>
      </c>
    </row>
    <row r="471" spans="1:5">
      <c r="A471" s="63"/>
      <c r="B471" s="61"/>
      <c r="C471" s="63"/>
      <c r="D471" s="63"/>
      <c r="E471" s="63" t="str">
        <f t="shared" si="8"/>
        <v/>
      </c>
    </row>
    <row r="472" spans="1:5">
      <c r="A472" s="63"/>
      <c r="B472" s="61"/>
      <c r="C472" s="63"/>
      <c r="D472" s="63"/>
      <c r="E472" s="63" t="str">
        <f t="shared" si="8"/>
        <v/>
      </c>
    </row>
    <row r="473" spans="1:5">
      <c r="A473" s="63"/>
      <c r="B473" s="61"/>
      <c r="C473" s="63"/>
      <c r="D473" s="63"/>
      <c r="E473" s="63" t="str">
        <f t="shared" si="8"/>
        <v/>
      </c>
    </row>
    <row r="474" spans="1:5">
      <c r="A474" s="63"/>
      <c r="B474" s="61"/>
      <c r="C474" s="63"/>
      <c r="D474" s="63"/>
      <c r="E474" s="63" t="str">
        <f t="shared" si="8"/>
        <v/>
      </c>
    </row>
    <row r="475" spans="1:5">
      <c r="A475" s="63"/>
      <c r="B475" s="61"/>
      <c r="C475" s="63"/>
      <c r="D475" s="63"/>
      <c r="E475" s="63" t="str">
        <f t="shared" si="8"/>
        <v/>
      </c>
    </row>
    <row r="476" spans="1:5">
      <c r="A476" s="63"/>
      <c r="B476" s="61"/>
      <c r="C476" s="63"/>
      <c r="D476" s="63"/>
      <c r="E476" s="63" t="str">
        <f t="shared" si="8"/>
        <v/>
      </c>
    </row>
    <row r="477" spans="1:5">
      <c r="A477" s="63"/>
      <c r="B477" s="61"/>
      <c r="C477" s="63"/>
      <c r="D477" s="63"/>
      <c r="E477" s="63" t="str">
        <f t="shared" si="8"/>
        <v/>
      </c>
    </row>
    <row r="478" spans="1:5">
      <c r="A478" s="63"/>
      <c r="B478" s="61"/>
      <c r="C478" s="63"/>
      <c r="D478" s="63"/>
      <c r="E478" s="63" t="str">
        <f t="shared" si="8"/>
        <v/>
      </c>
    </row>
    <row r="479" spans="1:5">
      <c r="A479" s="63"/>
      <c r="B479" s="61"/>
      <c r="C479" s="63"/>
      <c r="D479" s="63"/>
      <c r="E479" s="63" t="str">
        <f t="shared" si="8"/>
        <v/>
      </c>
    </row>
    <row r="480" spans="1:5">
      <c r="A480" s="63"/>
      <c r="B480" s="61"/>
      <c r="C480" s="63"/>
      <c r="D480" s="63"/>
      <c r="E480" s="63" t="str">
        <f t="shared" si="8"/>
        <v/>
      </c>
    </row>
    <row r="481" spans="1:5">
      <c r="A481" s="63"/>
      <c r="B481" s="61"/>
      <c r="C481" s="63"/>
      <c r="D481" s="63"/>
      <c r="E481" s="63" t="str">
        <f t="shared" si="8"/>
        <v/>
      </c>
    </row>
    <row r="482" spans="1:5">
      <c r="A482" s="63"/>
      <c r="B482" s="61"/>
      <c r="C482" s="63"/>
      <c r="D482" s="63"/>
      <c r="E482" s="63" t="str">
        <f t="shared" si="8"/>
        <v/>
      </c>
    </row>
    <row r="483" spans="1:5">
      <c r="A483" s="63"/>
      <c r="B483" s="61"/>
      <c r="C483" s="63"/>
      <c r="D483" s="63"/>
      <c r="E483" s="63" t="str">
        <f t="shared" si="8"/>
        <v/>
      </c>
    </row>
    <row r="484" spans="1:5">
      <c r="A484" s="63"/>
      <c r="B484" s="61"/>
      <c r="C484" s="63"/>
      <c r="D484" s="63"/>
      <c r="E484" s="63" t="str">
        <f t="shared" si="8"/>
        <v/>
      </c>
    </row>
    <row r="485" spans="1:5">
      <c r="A485" s="63"/>
      <c r="B485" s="61"/>
      <c r="C485" s="63"/>
      <c r="D485" s="63"/>
      <c r="E485" s="63" t="str">
        <f t="shared" si="8"/>
        <v/>
      </c>
    </row>
    <row r="486" spans="1:5">
      <c r="A486" s="63"/>
      <c r="B486" s="61"/>
      <c r="C486" s="63"/>
      <c r="D486" s="63"/>
      <c r="E486" s="63" t="str">
        <f t="shared" si="8"/>
        <v/>
      </c>
    </row>
    <row r="487" spans="1:5">
      <c r="A487" s="63"/>
      <c r="B487" s="61"/>
      <c r="C487" s="63"/>
      <c r="D487" s="63"/>
      <c r="E487" s="63" t="str">
        <f t="shared" si="8"/>
        <v/>
      </c>
    </row>
    <row r="488" spans="1:5">
      <c r="A488" s="63"/>
      <c r="B488" s="61"/>
      <c r="C488" s="63"/>
      <c r="D488" s="63"/>
      <c r="E488" s="63" t="str">
        <f t="shared" si="8"/>
        <v/>
      </c>
    </row>
    <row r="489" spans="1:5">
      <c r="A489" s="63"/>
      <c r="B489" s="61"/>
      <c r="C489" s="63"/>
      <c r="D489" s="63"/>
      <c r="E489" s="63" t="str">
        <f t="shared" si="8"/>
        <v/>
      </c>
    </row>
    <row r="490" spans="1:5">
      <c r="A490" s="63"/>
      <c r="B490" s="61"/>
      <c r="C490" s="63"/>
      <c r="D490" s="63"/>
      <c r="E490" s="63" t="str">
        <f t="shared" si="8"/>
        <v/>
      </c>
    </row>
    <row r="491" spans="1:5">
      <c r="A491" s="63"/>
      <c r="B491" s="61"/>
      <c r="C491" s="63"/>
      <c r="D491" s="63"/>
      <c r="E491" s="63" t="str">
        <f t="shared" si="8"/>
        <v/>
      </c>
    </row>
    <row r="492" spans="1:5">
      <c r="A492" s="63"/>
      <c r="B492" s="61"/>
      <c r="C492" s="63"/>
      <c r="D492" s="63"/>
      <c r="E492" s="63" t="str">
        <f t="shared" si="8"/>
        <v/>
      </c>
    </row>
    <row r="493" spans="1:5">
      <c r="A493" s="63"/>
      <c r="B493" s="61"/>
      <c r="C493" s="63"/>
      <c r="D493" s="63"/>
      <c r="E493" s="63" t="str">
        <f t="shared" si="8"/>
        <v/>
      </c>
    </row>
    <row r="494" spans="1:5">
      <c r="A494" s="63"/>
      <c r="B494" s="61"/>
      <c r="C494" s="63"/>
      <c r="D494" s="63"/>
      <c r="E494" s="63" t="str">
        <f t="shared" si="8"/>
        <v/>
      </c>
    </row>
    <row r="495" spans="1:5">
      <c r="A495" s="63"/>
      <c r="B495" s="61"/>
      <c r="C495" s="63"/>
      <c r="D495" s="63"/>
      <c r="E495" s="63" t="str">
        <f t="shared" si="8"/>
        <v/>
      </c>
    </row>
    <row r="496" spans="1:5">
      <c r="A496" s="63"/>
      <c r="B496" s="61"/>
      <c r="C496" s="63"/>
      <c r="D496" s="63"/>
      <c r="E496" s="63" t="str">
        <f t="shared" si="8"/>
        <v/>
      </c>
    </row>
    <row r="497" spans="1:5">
      <c r="A497" s="63"/>
      <c r="B497" s="61"/>
      <c r="C497" s="63"/>
      <c r="D497" s="63"/>
      <c r="E497" s="63" t="str">
        <f t="shared" si="8"/>
        <v/>
      </c>
    </row>
    <row r="498" spans="1:5">
      <c r="A498" s="63"/>
      <c r="B498" s="61"/>
      <c r="C498" s="63"/>
      <c r="D498" s="63"/>
      <c r="E498" s="63" t="str">
        <f t="shared" si="8"/>
        <v/>
      </c>
    </row>
    <row r="499" spans="1:5">
      <c r="A499" s="63"/>
      <c r="B499" s="61"/>
      <c r="C499" s="63"/>
      <c r="D499" s="63"/>
      <c r="E499" s="63" t="str">
        <f t="shared" si="8"/>
        <v/>
      </c>
    </row>
    <row r="500" spans="1:5">
      <c r="A500" s="63"/>
      <c r="B500" s="61"/>
      <c r="C500" s="63"/>
      <c r="D500" s="63"/>
      <c r="E500" s="63" t="str">
        <f t="shared" si="8"/>
        <v/>
      </c>
    </row>
    <row r="501" spans="1:5">
      <c r="A501" s="63"/>
      <c r="B501" s="61"/>
      <c r="C501" s="63"/>
      <c r="D501" s="63"/>
      <c r="E501" s="63" t="str">
        <f t="shared" si="8"/>
        <v/>
      </c>
    </row>
    <row r="502" spans="1:5">
      <c r="A502" s="63"/>
      <c r="B502" s="61"/>
      <c r="C502" s="63"/>
      <c r="D502" s="63"/>
      <c r="E502" s="63" t="str">
        <f t="shared" si="8"/>
        <v/>
      </c>
    </row>
    <row r="503" spans="1:5">
      <c r="A503" s="63"/>
      <c r="B503" s="61"/>
      <c r="C503" s="63"/>
      <c r="D503" s="63"/>
      <c r="E503" s="63" t="str">
        <f t="shared" si="8"/>
        <v/>
      </c>
    </row>
    <row r="504" spans="1:5">
      <c r="A504" s="63"/>
      <c r="B504" s="61"/>
      <c r="C504" s="63"/>
      <c r="D504" s="63"/>
      <c r="E504" s="63" t="str">
        <f t="shared" si="8"/>
        <v/>
      </c>
    </row>
    <row r="505" spans="1:5">
      <c r="A505" s="63"/>
      <c r="B505" s="61"/>
      <c r="C505" s="63"/>
      <c r="D505" s="63"/>
      <c r="E505" s="63" t="str">
        <f t="shared" si="8"/>
        <v/>
      </c>
    </row>
    <row r="506" spans="1:5">
      <c r="A506" s="63"/>
      <c r="B506" s="61"/>
      <c r="C506" s="63"/>
      <c r="D506" s="63"/>
      <c r="E506" s="63" t="str">
        <f t="shared" si="8"/>
        <v/>
      </c>
    </row>
    <row r="507" spans="1:5">
      <c r="A507" s="63"/>
      <c r="B507" s="61"/>
      <c r="C507" s="63"/>
      <c r="D507" s="63"/>
      <c r="E507" s="63" t="str">
        <f t="shared" si="8"/>
        <v/>
      </c>
    </row>
    <row r="508" spans="1:5">
      <c r="A508" s="63"/>
      <c r="B508" s="61"/>
      <c r="C508" s="63"/>
      <c r="D508" s="63"/>
      <c r="E508" s="63" t="str">
        <f t="shared" si="8"/>
        <v/>
      </c>
    </row>
    <row r="509" spans="1:5">
      <c r="A509" s="63"/>
      <c r="B509" s="61"/>
      <c r="C509" s="63"/>
      <c r="D509" s="63"/>
      <c r="E509" s="63" t="str">
        <f t="shared" si="8"/>
        <v/>
      </c>
    </row>
    <row r="510" spans="1:5">
      <c r="A510" s="63"/>
      <c r="B510" s="61"/>
      <c r="C510" s="63"/>
      <c r="D510" s="63"/>
      <c r="E510" s="63" t="str">
        <f t="shared" si="8"/>
        <v/>
      </c>
    </row>
    <row r="511" spans="1:5">
      <c r="A511" s="63"/>
      <c r="B511" s="61"/>
      <c r="C511" s="63"/>
      <c r="D511" s="63"/>
      <c r="E511" s="63" t="str">
        <f t="shared" si="8"/>
        <v/>
      </c>
    </row>
    <row r="512" spans="1:5">
      <c r="A512" s="63"/>
      <c r="B512" s="61"/>
      <c r="C512" s="63"/>
      <c r="D512" s="63"/>
      <c r="E512" s="63" t="str">
        <f t="shared" si="8"/>
        <v/>
      </c>
    </row>
    <row r="513" spans="1:5">
      <c r="A513" s="63"/>
      <c r="B513" s="61"/>
      <c r="C513" s="63"/>
      <c r="D513" s="63"/>
      <c r="E513" s="63" t="str">
        <f t="shared" si="8"/>
        <v/>
      </c>
    </row>
    <row r="514" spans="1:5">
      <c r="A514" s="63"/>
      <c r="B514" s="61"/>
      <c r="C514" s="63"/>
      <c r="D514" s="63"/>
      <c r="E514" s="63" t="str">
        <f t="shared" si="8"/>
        <v/>
      </c>
    </row>
    <row r="515" spans="1:5">
      <c r="A515" s="63"/>
      <c r="B515" s="61"/>
      <c r="C515" s="63"/>
      <c r="D515" s="63"/>
      <c r="E515" s="63" t="str">
        <f t="shared" si="8"/>
        <v/>
      </c>
    </row>
    <row r="516" spans="1:5">
      <c r="A516" s="63"/>
      <c r="B516" s="61"/>
      <c r="C516" s="63"/>
      <c r="D516" s="63"/>
      <c r="E516" s="63" t="str">
        <f t="shared" si="8"/>
        <v/>
      </c>
    </row>
    <row r="517" spans="1:5">
      <c r="A517" s="63"/>
      <c r="B517" s="61"/>
      <c r="C517" s="63"/>
      <c r="D517" s="63"/>
      <c r="E517" s="63" t="str">
        <f t="shared" ref="E517:E545" si="9">IFERROR(VLOOKUP(D517,T_Indices,5,FALSE),"")</f>
        <v/>
      </c>
    </row>
    <row r="518" spans="1:5">
      <c r="A518" s="63"/>
      <c r="B518" s="61"/>
      <c r="C518" s="63"/>
      <c r="D518" s="63"/>
      <c r="E518" s="63" t="str">
        <f t="shared" si="9"/>
        <v/>
      </c>
    </row>
    <row r="519" spans="1:5">
      <c r="A519" s="63"/>
      <c r="B519" s="61"/>
      <c r="C519" s="63"/>
      <c r="D519" s="63"/>
      <c r="E519" s="63" t="str">
        <f t="shared" si="9"/>
        <v/>
      </c>
    </row>
    <row r="520" spans="1:5">
      <c r="A520" s="63"/>
      <c r="B520" s="61"/>
      <c r="C520" s="63"/>
      <c r="D520" s="63"/>
      <c r="E520" s="63" t="str">
        <f t="shared" si="9"/>
        <v/>
      </c>
    </row>
    <row r="521" spans="1:5">
      <c r="A521" s="63"/>
      <c r="B521" s="61"/>
      <c r="C521" s="63"/>
      <c r="D521" s="63"/>
      <c r="E521" s="63" t="str">
        <f t="shared" si="9"/>
        <v/>
      </c>
    </row>
    <row r="522" spans="1:5">
      <c r="A522" s="63"/>
      <c r="B522" s="61"/>
      <c r="C522" s="63"/>
      <c r="D522" s="63"/>
      <c r="E522" s="63" t="str">
        <f t="shared" si="9"/>
        <v/>
      </c>
    </row>
    <row r="523" spans="1:5">
      <c r="A523" s="63"/>
      <c r="B523" s="61"/>
      <c r="C523" s="63"/>
      <c r="D523" s="63"/>
      <c r="E523" s="63" t="str">
        <f t="shared" si="9"/>
        <v/>
      </c>
    </row>
    <row r="524" spans="1:5">
      <c r="A524" s="63"/>
      <c r="B524" s="61"/>
      <c r="C524" s="63"/>
      <c r="D524" s="63"/>
      <c r="E524" s="63" t="str">
        <f t="shared" si="9"/>
        <v/>
      </c>
    </row>
    <row r="525" spans="1:5">
      <c r="A525" s="63"/>
      <c r="B525" s="61"/>
      <c r="C525" s="63"/>
      <c r="D525" s="63"/>
      <c r="E525" s="63" t="str">
        <f t="shared" si="9"/>
        <v/>
      </c>
    </row>
    <row r="526" spans="1:5">
      <c r="A526" s="63"/>
      <c r="B526" s="61"/>
      <c r="C526" s="63"/>
      <c r="D526" s="63"/>
      <c r="E526" s="63" t="str">
        <f t="shared" si="9"/>
        <v/>
      </c>
    </row>
    <row r="527" spans="1:5">
      <c r="A527" s="63"/>
      <c r="B527" s="61"/>
      <c r="C527" s="63"/>
      <c r="D527" s="63"/>
      <c r="E527" s="63" t="str">
        <f t="shared" si="9"/>
        <v/>
      </c>
    </row>
    <row r="528" spans="1:5">
      <c r="A528" s="63"/>
      <c r="B528" s="61"/>
      <c r="C528" s="63"/>
      <c r="D528" s="63"/>
      <c r="E528" s="63" t="str">
        <f t="shared" si="9"/>
        <v/>
      </c>
    </row>
    <row r="529" spans="1:5">
      <c r="A529" s="63"/>
      <c r="B529" s="61"/>
      <c r="C529" s="63"/>
      <c r="D529" s="63"/>
      <c r="E529" s="63" t="str">
        <f t="shared" si="9"/>
        <v/>
      </c>
    </row>
    <row r="530" spans="1:5">
      <c r="A530" s="63"/>
      <c r="B530" s="61"/>
      <c r="C530" s="63"/>
      <c r="D530" s="63"/>
      <c r="E530" s="63" t="str">
        <f t="shared" si="9"/>
        <v/>
      </c>
    </row>
    <row r="531" spans="1:5">
      <c r="A531" s="63"/>
      <c r="B531" s="61"/>
      <c r="C531" s="63"/>
      <c r="D531" s="63"/>
      <c r="E531" s="63" t="str">
        <f t="shared" si="9"/>
        <v/>
      </c>
    </row>
    <row r="532" spans="1:5">
      <c r="A532" s="63"/>
      <c r="B532" s="61"/>
      <c r="C532" s="63"/>
      <c r="D532" s="63"/>
      <c r="E532" s="63" t="str">
        <f t="shared" si="9"/>
        <v/>
      </c>
    </row>
    <row r="533" spans="1:5">
      <c r="A533" s="63"/>
      <c r="B533" s="61"/>
      <c r="C533" s="63"/>
      <c r="D533" s="63"/>
      <c r="E533" s="63" t="str">
        <f t="shared" si="9"/>
        <v/>
      </c>
    </row>
    <row r="534" spans="1:5">
      <c r="A534" s="63"/>
      <c r="B534" s="61"/>
      <c r="C534" s="63"/>
      <c r="D534" s="63"/>
      <c r="E534" s="63" t="str">
        <f t="shared" si="9"/>
        <v/>
      </c>
    </row>
    <row r="535" spans="1:5">
      <c r="A535" s="63"/>
      <c r="B535" s="61"/>
      <c r="C535" s="63"/>
      <c r="D535" s="63"/>
      <c r="E535" s="63" t="str">
        <f t="shared" si="9"/>
        <v/>
      </c>
    </row>
    <row r="536" spans="1:5">
      <c r="A536" s="63"/>
      <c r="B536" s="61"/>
      <c r="C536" s="63"/>
      <c r="D536" s="63"/>
      <c r="E536" s="63" t="str">
        <f t="shared" si="9"/>
        <v/>
      </c>
    </row>
    <row r="537" spans="1:5">
      <c r="A537" s="63"/>
      <c r="B537" s="61"/>
      <c r="C537" s="63"/>
      <c r="D537" s="63"/>
      <c r="E537" s="63" t="str">
        <f t="shared" si="9"/>
        <v/>
      </c>
    </row>
    <row r="538" spans="1:5">
      <c r="A538" s="63"/>
      <c r="B538" s="61"/>
      <c r="C538" s="63"/>
      <c r="D538" s="63"/>
      <c r="E538" s="63" t="str">
        <f t="shared" si="9"/>
        <v/>
      </c>
    </row>
    <row r="539" spans="1:5">
      <c r="A539" s="63"/>
      <c r="B539" s="61"/>
      <c r="C539" s="63"/>
      <c r="D539" s="63"/>
      <c r="E539" s="63" t="str">
        <f t="shared" si="9"/>
        <v/>
      </c>
    </row>
    <row r="540" spans="1:5">
      <c r="A540" s="63"/>
      <c r="B540" s="61"/>
      <c r="C540" s="63"/>
      <c r="D540" s="63"/>
      <c r="E540" s="63" t="str">
        <f t="shared" si="9"/>
        <v/>
      </c>
    </row>
    <row r="541" spans="1:5">
      <c r="A541" s="63"/>
      <c r="B541" s="61"/>
      <c r="C541" s="63"/>
      <c r="D541" s="63"/>
      <c r="E541" s="63" t="str">
        <f t="shared" si="9"/>
        <v/>
      </c>
    </row>
    <row r="542" spans="1:5">
      <c r="A542" s="63"/>
      <c r="B542" s="61"/>
      <c r="C542" s="63"/>
      <c r="D542" s="63"/>
      <c r="E542" s="63" t="str">
        <f t="shared" si="9"/>
        <v/>
      </c>
    </row>
    <row r="543" spans="1:5">
      <c r="A543" s="63"/>
      <c r="B543" s="61"/>
      <c r="C543" s="63"/>
      <c r="D543" s="63"/>
      <c r="E543" s="63" t="str">
        <f t="shared" si="9"/>
        <v/>
      </c>
    </row>
    <row r="544" spans="1:5">
      <c r="A544" s="63"/>
      <c r="B544" s="61"/>
      <c r="C544" s="63"/>
      <c r="D544" s="63"/>
      <c r="E544" s="63" t="str">
        <f t="shared" si="9"/>
        <v/>
      </c>
    </row>
    <row r="545" spans="1:5">
      <c r="A545" s="63"/>
      <c r="B545" s="61"/>
      <c r="C545" s="63"/>
      <c r="D545" s="63"/>
      <c r="E545" s="63" t="str">
        <f t="shared" si="9"/>
        <v/>
      </c>
    </row>
  </sheetData>
  <sortState ref="A33:G320">
    <sortCondition ref="A33:A32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topLeftCell="A25" workbookViewId="0">
      <selection activeCell="O6" sqref="O6"/>
    </sheetView>
  </sheetViews>
  <sheetFormatPr baseColWidth="10" defaultColWidth="11.42578125" defaultRowHeight="12.75"/>
  <cols>
    <col min="1" max="1" width="33.7109375" style="594" customWidth="1"/>
    <col min="2" max="2" width="15.85546875" style="594" customWidth="1"/>
    <col min="3" max="4" width="13.85546875" style="594" customWidth="1"/>
    <col min="5" max="5" width="15.140625" style="594" customWidth="1"/>
    <col min="6" max="9" width="13.85546875" style="594" customWidth="1"/>
    <col min="10" max="10" width="16.7109375" style="594" customWidth="1"/>
    <col min="11" max="11" width="13.85546875" style="594" customWidth="1"/>
    <col min="12" max="14" width="11.42578125" style="594"/>
    <col min="15" max="15" width="49.85546875" style="594" bestFit="1" customWidth="1"/>
    <col min="16" max="16384" width="11.42578125" style="594"/>
  </cols>
  <sheetData>
    <row r="1" spans="1:17">
      <c r="A1" s="594" t="s">
        <v>2071</v>
      </c>
    </row>
    <row r="2" spans="1:17">
      <c r="A2" s="594" t="s">
        <v>2070</v>
      </c>
    </row>
    <row r="3" spans="1:17">
      <c r="A3" s="594" t="s">
        <v>2068</v>
      </c>
    </row>
    <row r="4" spans="1:17">
      <c r="A4" s="594" t="s">
        <v>2069</v>
      </c>
    </row>
    <row r="6" spans="1:17" ht="15.75">
      <c r="A6" s="699" t="s">
        <v>1814</v>
      </c>
      <c r="B6" s="699"/>
      <c r="C6" s="699"/>
      <c r="D6" s="699"/>
      <c r="E6" s="699"/>
      <c r="F6" s="699"/>
      <c r="G6" s="699"/>
      <c r="H6" s="699"/>
      <c r="I6" s="699"/>
      <c r="J6" s="699"/>
      <c r="K6" s="699"/>
      <c r="O6" s="594" t="s">
        <v>1834</v>
      </c>
      <c r="P6" s="594">
        <v>140</v>
      </c>
      <c r="Q6" s="594">
        <v>900000</v>
      </c>
    </row>
    <row r="7" spans="1:17">
      <c r="O7" s="594" t="s">
        <v>1835</v>
      </c>
      <c r="P7" s="594">
        <v>140</v>
      </c>
      <c r="Q7" s="594">
        <v>1260000</v>
      </c>
    </row>
    <row r="8" spans="1:17" s="576" customFormat="1" ht="38.25">
      <c r="A8" s="589" t="s">
        <v>1815</v>
      </c>
      <c r="B8" s="589" t="s">
        <v>1816</v>
      </c>
      <c r="C8" s="589" t="s">
        <v>1817</v>
      </c>
      <c r="D8" s="589" t="s">
        <v>1818</v>
      </c>
      <c r="E8" s="589" t="s">
        <v>1825</v>
      </c>
      <c r="F8" s="589" t="s">
        <v>1819</v>
      </c>
      <c r="G8" s="589" t="s">
        <v>1820</v>
      </c>
      <c r="H8" s="589" t="s">
        <v>1821</v>
      </c>
      <c r="I8" s="589" t="s">
        <v>1822</v>
      </c>
      <c r="J8" s="589" t="s">
        <v>1823</v>
      </c>
      <c r="K8" s="589" t="s">
        <v>1824</v>
      </c>
      <c r="O8" s="594" t="s">
        <v>1839</v>
      </c>
      <c r="P8" s="594">
        <v>140</v>
      </c>
      <c r="Q8" s="594">
        <v>1080000</v>
      </c>
    </row>
    <row r="9" spans="1:17" s="576" customFormat="1">
      <c r="A9" s="590" t="s">
        <v>1853</v>
      </c>
      <c r="B9" s="589"/>
      <c r="C9" s="589"/>
      <c r="D9" s="589"/>
      <c r="E9" s="589"/>
      <c r="F9" s="589"/>
      <c r="G9" s="589"/>
      <c r="H9" s="589"/>
      <c r="I9" s="589"/>
      <c r="J9" s="589"/>
      <c r="K9" s="589"/>
      <c r="O9" s="594"/>
      <c r="P9" s="594"/>
      <c r="Q9" s="594"/>
    </row>
    <row r="10" spans="1:17">
      <c r="A10" s="591"/>
      <c r="B10" s="591"/>
      <c r="C10" s="591"/>
      <c r="D10" s="592"/>
      <c r="E10" s="593"/>
      <c r="F10" s="591"/>
      <c r="G10" s="591"/>
      <c r="H10" s="591"/>
      <c r="I10" s="591"/>
      <c r="J10" s="591"/>
      <c r="K10" s="591"/>
      <c r="O10" s="594" t="s">
        <v>360</v>
      </c>
      <c r="P10" s="594">
        <v>110</v>
      </c>
      <c r="Q10" s="594">
        <v>630000</v>
      </c>
    </row>
    <row r="11" spans="1:17">
      <c r="A11" s="591"/>
      <c r="B11" s="591"/>
      <c r="C11" s="591"/>
      <c r="D11" s="592"/>
      <c r="E11" s="593"/>
      <c r="F11" s="591"/>
      <c r="G11" s="591"/>
      <c r="H11" s="591"/>
      <c r="I11" s="591"/>
      <c r="J11" s="591"/>
      <c r="K11" s="591"/>
      <c r="O11" s="594" t="s">
        <v>1827</v>
      </c>
      <c r="P11" s="594">
        <v>160</v>
      </c>
      <c r="Q11" s="594">
        <v>1260000</v>
      </c>
    </row>
    <row r="12" spans="1:17">
      <c r="A12" s="591"/>
      <c r="B12" s="591"/>
      <c r="C12" s="591"/>
      <c r="D12" s="592"/>
      <c r="E12" s="593"/>
      <c r="F12" s="591"/>
      <c r="G12" s="591"/>
      <c r="H12" s="591"/>
      <c r="I12" s="591"/>
      <c r="J12" s="591"/>
      <c r="K12" s="591"/>
      <c r="O12" s="594" t="s">
        <v>1841</v>
      </c>
      <c r="P12" s="594">
        <v>360</v>
      </c>
      <c r="Q12" s="594">
        <v>1800000</v>
      </c>
    </row>
    <row r="13" spans="1:17">
      <c r="A13" s="591"/>
      <c r="B13" s="591"/>
      <c r="C13" s="591"/>
      <c r="D13" s="592"/>
      <c r="E13" s="593"/>
      <c r="F13" s="591"/>
      <c r="G13" s="591"/>
      <c r="H13" s="591"/>
      <c r="I13" s="591"/>
      <c r="J13" s="591"/>
      <c r="K13" s="591"/>
      <c r="O13" s="594" t="s">
        <v>1840</v>
      </c>
      <c r="P13" s="594">
        <v>120</v>
      </c>
      <c r="Q13" s="594">
        <v>270000</v>
      </c>
    </row>
    <row r="14" spans="1:17">
      <c r="A14" s="591"/>
      <c r="B14" s="591"/>
      <c r="C14" s="591"/>
      <c r="D14" s="592"/>
      <c r="E14" s="593"/>
      <c r="F14" s="591"/>
      <c r="G14" s="591"/>
      <c r="H14" s="591"/>
      <c r="I14" s="591"/>
      <c r="J14" s="591"/>
      <c r="K14" s="591"/>
      <c r="O14" s="594" t="s">
        <v>1838</v>
      </c>
      <c r="P14" s="594">
        <v>140</v>
      </c>
      <c r="Q14" s="594">
        <v>900000</v>
      </c>
    </row>
    <row r="15" spans="1:17">
      <c r="A15" s="591"/>
      <c r="B15" s="591"/>
      <c r="C15" s="591"/>
      <c r="D15" s="592"/>
      <c r="E15" s="593"/>
      <c r="F15" s="591"/>
      <c r="G15" s="591"/>
      <c r="H15" s="591"/>
      <c r="I15" s="591"/>
      <c r="J15" s="591"/>
      <c r="K15" s="591"/>
      <c r="O15" s="594" t="s">
        <v>1832</v>
      </c>
      <c r="P15" s="594">
        <v>200</v>
      </c>
      <c r="Q15" s="594">
        <v>3240000</v>
      </c>
    </row>
    <row r="16" spans="1:17">
      <c r="A16" s="591"/>
      <c r="B16" s="591"/>
      <c r="C16" s="591"/>
      <c r="D16" s="592"/>
      <c r="E16" s="593"/>
      <c r="F16" s="591"/>
      <c r="G16" s="591"/>
      <c r="H16" s="591"/>
      <c r="I16" s="591"/>
      <c r="J16" s="591"/>
      <c r="K16" s="591"/>
      <c r="O16" s="594" t="s">
        <v>1829</v>
      </c>
      <c r="P16" s="594">
        <v>90</v>
      </c>
      <c r="Q16" s="594">
        <v>1170000</v>
      </c>
    </row>
    <row r="17" spans="1:17">
      <c r="A17" s="591"/>
      <c r="D17" s="592"/>
      <c r="E17" s="593"/>
      <c r="F17" s="591"/>
      <c r="G17" s="591"/>
      <c r="H17" s="591"/>
      <c r="I17" s="591"/>
      <c r="J17" s="591"/>
      <c r="K17" s="591"/>
      <c r="O17" s="594" t="s">
        <v>1826</v>
      </c>
      <c r="P17" s="594">
        <v>260</v>
      </c>
      <c r="Q17" s="594">
        <v>3960000</v>
      </c>
    </row>
    <row r="18" spans="1:17">
      <c r="A18" s="591"/>
      <c r="B18" s="591"/>
      <c r="C18" s="591"/>
      <c r="D18" s="592"/>
      <c r="E18" s="593"/>
      <c r="F18" s="591"/>
      <c r="G18" s="591"/>
      <c r="H18" s="591"/>
      <c r="I18" s="591"/>
      <c r="J18" s="591"/>
      <c r="K18" s="591"/>
      <c r="O18" s="594" t="s">
        <v>362</v>
      </c>
      <c r="P18" s="594">
        <v>75</v>
      </c>
      <c r="Q18" s="594">
        <v>1170000</v>
      </c>
    </row>
    <row r="19" spans="1:17">
      <c r="A19" s="591"/>
      <c r="B19" s="591"/>
      <c r="C19" s="591"/>
      <c r="D19" s="592"/>
      <c r="E19" s="593"/>
      <c r="F19" s="591"/>
      <c r="G19" s="591"/>
      <c r="H19" s="591"/>
      <c r="I19" s="591"/>
      <c r="J19" s="591"/>
      <c r="K19" s="591"/>
      <c r="O19" s="594" t="s">
        <v>1836</v>
      </c>
      <c r="P19" s="594">
        <v>90</v>
      </c>
      <c r="Q19" s="594">
        <v>2700000</v>
      </c>
    </row>
    <row r="20" spans="1:17">
      <c r="A20" s="591"/>
      <c r="B20" s="591"/>
      <c r="C20" s="591"/>
      <c r="D20" s="592"/>
      <c r="E20" s="593"/>
      <c r="F20" s="591"/>
      <c r="G20" s="591"/>
      <c r="H20" s="591"/>
      <c r="I20" s="591"/>
      <c r="J20" s="591"/>
      <c r="K20" s="591"/>
      <c r="O20" s="594" t="s">
        <v>1828</v>
      </c>
      <c r="P20" s="594">
        <v>110</v>
      </c>
      <c r="Q20" s="594">
        <v>1260000</v>
      </c>
    </row>
    <row r="21" spans="1:17">
      <c r="A21" s="591"/>
      <c r="B21" s="591"/>
      <c r="C21" s="591"/>
      <c r="D21" s="592"/>
      <c r="E21" s="593"/>
      <c r="F21" s="591"/>
      <c r="G21" s="591"/>
      <c r="H21" s="591"/>
      <c r="I21" s="591"/>
      <c r="J21" s="591"/>
      <c r="K21" s="591"/>
      <c r="O21" s="594" t="s">
        <v>1833</v>
      </c>
      <c r="P21" s="594">
        <v>140</v>
      </c>
      <c r="Q21" s="594">
        <v>1080000</v>
      </c>
    </row>
    <row r="22" spans="1:17">
      <c r="A22" s="591"/>
      <c r="B22" s="591"/>
      <c r="C22" s="591"/>
      <c r="D22" s="592"/>
      <c r="E22" s="593"/>
      <c r="F22" s="591"/>
      <c r="G22" s="591"/>
      <c r="H22" s="591"/>
      <c r="I22" s="591"/>
      <c r="J22" s="591"/>
      <c r="K22" s="591"/>
      <c r="O22" s="594" t="s">
        <v>1837</v>
      </c>
      <c r="P22" s="594">
        <v>110</v>
      </c>
      <c r="Q22" s="594">
        <v>1260000</v>
      </c>
    </row>
    <row r="23" spans="1:17">
      <c r="A23" s="591"/>
      <c r="B23" s="591"/>
      <c r="C23" s="591"/>
      <c r="D23" s="592"/>
      <c r="E23" s="593"/>
      <c r="F23" s="591"/>
      <c r="G23" s="591"/>
      <c r="H23" s="591"/>
      <c r="I23" s="591"/>
      <c r="J23" s="591"/>
      <c r="K23" s="591"/>
    </row>
    <row r="24" spans="1:17">
      <c r="A24" s="591"/>
      <c r="B24" s="591"/>
      <c r="C24" s="591"/>
      <c r="D24" s="592"/>
      <c r="E24" s="593"/>
      <c r="F24" s="591"/>
      <c r="G24" s="591"/>
      <c r="H24" s="591"/>
      <c r="I24" s="591"/>
      <c r="J24" s="591"/>
      <c r="K24" s="591"/>
    </row>
    <row r="25" spans="1:17">
      <c r="A25" s="591"/>
      <c r="B25" s="591"/>
      <c r="C25" s="591"/>
      <c r="D25" s="592"/>
      <c r="E25" s="593"/>
      <c r="F25" s="591"/>
      <c r="G25" s="591"/>
      <c r="H25" s="591"/>
      <c r="I25" s="591"/>
      <c r="J25" s="591"/>
      <c r="K25" s="591"/>
    </row>
    <row r="26" spans="1:17">
      <c r="A26" s="591"/>
      <c r="B26" s="591"/>
      <c r="C26" s="591"/>
      <c r="D26" s="592"/>
      <c r="E26" s="595"/>
      <c r="F26" s="591"/>
      <c r="G26" s="591"/>
      <c r="H26" s="591"/>
      <c r="I26" s="591"/>
      <c r="J26" s="591"/>
      <c r="K26" s="591"/>
    </row>
    <row r="27" spans="1:17">
      <c r="A27" s="590" t="s">
        <v>1852</v>
      </c>
    </row>
    <row r="28" spans="1:17">
      <c r="A28" s="591"/>
      <c r="B28" s="591"/>
      <c r="C28" s="591"/>
      <c r="D28" s="592"/>
      <c r="E28" s="595"/>
      <c r="F28" s="591"/>
      <c r="G28" s="591"/>
      <c r="H28" s="591"/>
      <c r="I28" s="591"/>
      <c r="J28" s="591"/>
      <c r="K28" s="591"/>
    </row>
    <row r="29" spans="1:17">
      <c r="A29" s="591"/>
      <c r="B29" s="591"/>
      <c r="C29" s="596"/>
      <c r="D29" s="597"/>
      <c r="E29" s="598"/>
      <c r="F29" s="591"/>
      <c r="G29" s="591"/>
      <c r="H29" s="591"/>
      <c r="I29" s="591"/>
      <c r="J29" s="591"/>
      <c r="K29" s="591"/>
    </row>
    <row r="30" spans="1:17">
      <c r="A30" s="591"/>
      <c r="B30" s="591"/>
      <c r="C30" s="596"/>
      <c r="D30" s="597"/>
      <c r="E30" s="598"/>
      <c r="F30" s="591"/>
      <c r="G30" s="591"/>
      <c r="H30" s="591"/>
      <c r="I30" s="591"/>
      <c r="J30" s="591"/>
      <c r="K30" s="591"/>
    </row>
    <row r="31" spans="1:17">
      <c r="A31" s="591"/>
      <c r="B31" s="591"/>
      <c r="C31" s="596"/>
      <c r="D31" s="597"/>
      <c r="E31" s="598"/>
      <c r="F31" s="591"/>
      <c r="G31" s="591"/>
      <c r="H31" s="591"/>
      <c r="I31" s="591"/>
      <c r="J31" s="591"/>
      <c r="K31" s="591"/>
    </row>
    <row r="32" spans="1:17">
      <c r="A32" s="591"/>
      <c r="B32" s="591"/>
      <c r="C32" s="596"/>
      <c r="D32" s="597"/>
      <c r="E32" s="598"/>
      <c r="F32" s="591"/>
      <c r="G32" s="591"/>
      <c r="H32" s="591"/>
      <c r="I32" s="591"/>
      <c r="J32" s="591"/>
      <c r="K32" s="591"/>
    </row>
    <row r="33" spans="1:11">
      <c r="A33" s="591"/>
      <c r="B33" s="591"/>
      <c r="C33" s="596"/>
      <c r="D33" s="597"/>
      <c r="E33" s="598"/>
      <c r="F33" s="591"/>
      <c r="G33" s="591"/>
      <c r="H33" s="591"/>
      <c r="I33" s="591"/>
      <c r="J33" s="591"/>
      <c r="K33" s="591"/>
    </row>
    <row r="34" spans="1:11">
      <c r="A34" s="591"/>
      <c r="B34" s="591"/>
      <c r="C34" s="596"/>
      <c r="D34" s="597"/>
      <c r="E34" s="598"/>
      <c r="F34" s="591"/>
      <c r="G34" s="591"/>
      <c r="H34" s="591"/>
      <c r="I34" s="591"/>
      <c r="J34" s="591"/>
      <c r="K34" s="591"/>
    </row>
    <row r="35" spans="1:11">
      <c r="A35" s="591"/>
      <c r="B35" s="591"/>
      <c r="C35" s="596"/>
      <c r="D35" s="597"/>
      <c r="E35" s="598"/>
      <c r="F35" s="591"/>
      <c r="G35" s="591"/>
      <c r="H35" s="591"/>
      <c r="I35" s="591"/>
      <c r="J35" s="591"/>
      <c r="K35" s="591"/>
    </row>
    <row r="36" spans="1:11">
      <c r="A36" s="591"/>
      <c r="B36" s="591"/>
      <c r="C36" s="596"/>
      <c r="D36" s="597"/>
      <c r="E36" s="598"/>
      <c r="F36" s="591"/>
      <c r="G36" s="591"/>
      <c r="H36" s="591"/>
      <c r="I36" s="591"/>
      <c r="J36" s="591"/>
      <c r="K36" s="591"/>
    </row>
    <row r="37" spans="1:11">
      <c r="A37" s="591"/>
      <c r="B37" s="591"/>
      <c r="C37" s="596"/>
      <c r="D37" s="597"/>
      <c r="E37" s="598"/>
      <c r="F37" s="591"/>
      <c r="G37" s="591"/>
      <c r="H37" s="591"/>
      <c r="I37" s="591"/>
      <c r="J37" s="591"/>
      <c r="K37" s="591"/>
    </row>
    <row r="38" spans="1:11">
      <c r="A38" s="591"/>
      <c r="B38" s="591"/>
      <c r="C38" s="596"/>
      <c r="D38" s="597"/>
      <c r="E38" s="598"/>
      <c r="F38" s="591"/>
      <c r="G38" s="591"/>
      <c r="H38" s="591"/>
      <c r="I38" s="591"/>
      <c r="J38" s="591"/>
      <c r="K38" s="591"/>
    </row>
    <row r="39" spans="1:11">
      <c r="A39" s="591"/>
      <c r="B39" s="591"/>
      <c r="C39" s="596"/>
      <c r="D39" s="597"/>
      <c r="E39" s="598"/>
      <c r="F39" s="591"/>
      <c r="G39" s="591"/>
      <c r="H39" s="591"/>
      <c r="I39" s="591"/>
      <c r="J39" s="591"/>
      <c r="K39" s="591"/>
    </row>
    <row r="40" spans="1:11">
      <c r="A40" s="591"/>
      <c r="B40" s="591"/>
      <c r="C40" s="596"/>
      <c r="D40" s="597"/>
      <c r="E40" s="598"/>
      <c r="F40" s="591"/>
      <c r="G40" s="591"/>
      <c r="H40" s="591"/>
      <c r="I40" s="591"/>
      <c r="J40" s="591"/>
      <c r="K40" s="591"/>
    </row>
    <row r="41" spans="1:11">
      <c r="A41" s="591"/>
      <c r="B41" s="591"/>
      <c r="C41" s="596"/>
      <c r="D41" s="597"/>
      <c r="E41" s="598"/>
      <c r="F41" s="591"/>
      <c r="G41" s="591"/>
      <c r="H41" s="591"/>
      <c r="I41" s="591"/>
      <c r="J41" s="591"/>
      <c r="K41" s="591"/>
    </row>
    <row r="42" spans="1:11">
      <c r="A42" s="591"/>
      <c r="B42" s="591"/>
      <c r="C42" s="596"/>
      <c r="D42" s="597"/>
      <c r="E42" s="598"/>
      <c r="F42" s="591"/>
      <c r="G42" s="591"/>
      <c r="H42" s="591"/>
      <c r="I42" s="591"/>
      <c r="J42" s="591"/>
      <c r="K42" s="591"/>
    </row>
    <row r="43" spans="1:11">
      <c r="A43" s="591"/>
      <c r="B43" s="591"/>
      <c r="C43" s="596"/>
      <c r="D43" s="597"/>
      <c r="E43" s="598"/>
      <c r="F43" s="591"/>
      <c r="G43" s="591"/>
      <c r="H43" s="591"/>
      <c r="I43" s="591"/>
      <c r="J43" s="591"/>
      <c r="K43" s="591"/>
    </row>
    <row r="44" spans="1:11">
      <c r="A44" s="591"/>
      <c r="B44" s="591"/>
      <c r="C44" s="596"/>
      <c r="D44" s="597"/>
      <c r="E44" s="598"/>
      <c r="F44" s="591"/>
      <c r="G44" s="591"/>
      <c r="H44" s="591"/>
      <c r="I44" s="591"/>
      <c r="J44" s="591"/>
      <c r="K44" s="591"/>
    </row>
    <row r="45" spans="1:11">
      <c r="A45" s="591"/>
      <c r="B45" s="591"/>
      <c r="C45" s="596"/>
      <c r="D45" s="597"/>
      <c r="E45" s="598"/>
      <c r="F45" s="591"/>
      <c r="G45" s="591"/>
      <c r="H45" s="591"/>
      <c r="I45" s="591"/>
      <c r="J45" s="591"/>
      <c r="K45" s="591"/>
    </row>
    <row r="46" spans="1:11">
      <c r="A46" s="591"/>
      <c r="B46" s="591"/>
      <c r="C46" s="596"/>
      <c r="D46" s="597"/>
      <c r="E46" s="598"/>
      <c r="F46" s="591"/>
      <c r="G46" s="591"/>
      <c r="H46" s="591"/>
      <c r="I46" s="591"/>
      <c r="J46" s="591"/>
      <c r="K46" s="591"/>
    </row>
    <row r="47" spans="1:11">
      <c r="A47" s="591"/>
      <c r="B47" s="591"/>
      <c r="C47" s="596"/>
      <c r="D47" s="597"/>
      <c r="E47" s="598"/>
      <c r="F47" s="591"/>
      <c r="G47" s="591"/>
      <c r="H47" s="591"/>
      <c r="I47" s="591"/>
      <c r="J47" s="591"/>
      <c r="K47" s="591"/>
    </row>
    <row r="48" spans="1:11">
      <c r="A48" s="591"/>
      <c r="B48" s="591"/>
      <c r="C48" s="596"/>
      <c r="D48" s="597"/>
      <c r="E48" s="598"/>
      <c r="F48" s="591"/>
      <c r="G48" s="591"/>
      <c r="H48" s="591"/>
      <c r="I48" s="591"/>
      <c r="J48" s="591"/>
      <c r="K48" s="591"/>
    </row>
    <row r="49" spans="1:11">
      <c r="A49" s="591"/>
      <c r="B49" s="591"/>
      <c r="C49" s="596"/>
      <c r="D49" s="597"/>
      <c r="E49" s="598"/>
      <c r="F49" s="591"/>
      <c r="G49" s="591"/>
      <c r="H49" s="591"/>
      <c r="I49" s="591"/>
      <c r="J49" s="591"/>
      <c r="K49" s="591"/>
    </row>
    <row r="50" spans="1:11">
      <c r="A50" s="591"/>
      <c r="B50" s="591"/>
      <c r="C50" s="596"/>
      <c r="D50" s="597"/>
      <c r="E50" s="598"/>
      <c r="F50" s="591"/>
      <c r="G50" s="591"/>
      <c r="H50" s="591"/>
      <c r="I50" s="591"/>
      <c r="J50" s="591"/>
      <c r="K50" s="591"/>
    </row>
    <row r="51" spans="1:11">
      <c r="A51" s="591"/>
      <c r="B51" s="591"/>
      <c r="C51" s="596"/>
      <c r="D51" s="597"/>
      <c r="E51" s="598"/>
      <c r="F51" s="591"/>
      <c r="G51" s="591"/>
      <c r="H51" s="591"/>
      <c r="I51" s="591"/>
      <c r="J51" s="591"/>
      <c r="K51" s="591"/>
    </row>
    <row r="52" spans="1:11">
      <c r="A52" s="591"/>
      <c r="B52" s="591"/>
      <c r="C52" s="596"/>
      <c r="D52" s="597"/>
      <c r="E52" s="598"/>
      <c r="F52" s="591"/>
      <c r="G52" s="591"/>
      <c r="H52" s="591"/>
      <c r="I52" s="591"/>
      <c r="J52" s="591"/>
      <c r="K52" s="591"/>
    </row>
    <row r="53" spans="1:11">
      <c r="A53" s="591"/>
      <c r="B53" s="591"/>
      <c r="C53" s="596"/>
      <c r="D53" s="597"/>
      <c r="E53" s="598"/>
      <c r="F53" s="591"/>
      <c r="G53" s="591"/>
      <c r="H53" s="591"/>
      <c r="I53" s="591"/>
      <c r="J53" s="591"/>
      <c r="K53" s="591"/>
    </row>
    <row r="54" spans="1:11">
      <c r="A54" s="591"/>
      <c r="B54" s="591"/>
      <c r="C54" s="596"/>
      <c r="D54" s="597"/>
      <c r="E54" s="598"/>
      <c r="F54" s="591"/>
      <c r="G54" s="591"/>
      <c r="H54" s="591"/>
      <c r="I54" s="591"/>
      <c r="J54" s="591"/>
      <c r="K54" s="591"/>
    </row>
    <row r="55" spans="1:11">
      <c r="A55" s="591"/>
      <c r="B55" s="591"/>
      <c r="C55" s="596"/>
      <c r="D55" s="597"/>
      <c r="E55" s="598"/>
      <c r="F55" s="591"/>
      <c r="G55" s="591"/>
      <c r="H55" s="591"/>
      <c r="I55" s="591"/>
      <c r="J55" s="591"/>
      <c r="K55" s="591"/>
    </row>
    <row r="56" spans="1:11">
      <c r="A56" s="591"/>
      <c r="B56" s="591"/>
      <c r="C56" s="596"/>
      <c r="D56" s="597"/>
      <c r="E56" s="598"/>
      <c r="F56" s="591"/>
      <c r="G56" s="591"/>
      <c r="H56" s="591"/>
      <c r="I56" s="591"/>
      <c r="J56" s="591"/>
      <c r="K56" s="591"/>
    </row>
    <row r="57" spans="1:11">
      <c r="A57" s="591"/>
      <c r="B57" s="591"/>
      <c r="C57" s="596"/>
      <c r="D57" s="597"/>
      <c r="E57" s="598"/>
      <c r="F57" s="591"/>
      <c r="G57" s="591"/>
      <c r="H57" s="591"/>
      <c r="I57" s="591"/>
      <c r="J57" s="591"/>
      <c r="K57" s="591"/>
    </row>
    <row r="58" spans="1:11">
      <c r="A58" s="591"/>
      <c r="B58" s="591"/>
      <c r="C58" s="596"/>
      <c r="D58" s="597"/>
      <c r="E58" s="598"/>
      <c r="F58" s="591"/>
      <c r="G58" s="591"/>
      <c r="H58" s="591"/>
      <c r="I58" s="591"/>
      <c r="J58" s="591"/>
      <c r="K58" s="591"/>
    </row>
    <row r="59" spans="1:11">
      <c r="A59" s="591"/>
      <c r="B59" s="591"/>
      <c r="C59" s="596"/>
      <c r="D59" s="597"/>
      <c r="E59" s="598"/>
      <c r="F59" s="591"/>
      <c r="G59" s="591"/>
      <c r="H59" s="591"/>
      <c r="I59" s="591"/>
      <c r="J59" s="591"/>
      <c r="K59" s="591"/>
    </row>
    <row r="60" spans="1:11">
      <c r="A60" s="591"/>
      <c r="B60" s="591"/>
      <c r="C60" s="596"/>
      <c r="D60" s="597"/>
      <c r="E60" s="598"/>
      <c r="F60" s="591"/>
      <c r="G60" s="591"/>
      <c r="H60" s="591"/>
      <c r="I60" s="591"/>
      <c r="J60" s="591"/>
      <c r="K60" s="591"/>
    </row>
    <row r="61" spans="1:11">
      <c r="A61" s="591"/>
      <c r="B61" s="591"/>
      <c r="C61" s="596"/>
      <c r="D61" s="597"/>
      <c r="E61" s="598"/>
      <c r="F61" s="591"/>
      <c r="G61" s="591"/>
      <c r="H61" s="591"/>
      <c r="I61" s="591"/>
      <c r="J61" s="591"/>
      <c r="K61" s="591"/>
    </row>
    <row r="538" spans="15:17">
      <c r="O538" s="576"/>
      <c r="P538" s="576"/>
      <c r="Q538" s="576"/>
    </row>
    <row r="539" spans="15:17">
      <c r="Q539" s="594" t="s">
        <v>31</v>
      </c>
    </row>
    <row r="552" spans="17:17">
      <c r="Q552" s="594">
        <v>0</v>
      </c>
    </row>
    <row r="553" spans="17:17">
      <c r="Q553" s="594">
        <v>0</v>
      </c>
    </row>
    <row r="554" spans="17:17">
      <c r="Q554" s="594">
        <v>0</v>
      </c>
    </row>
    <row r="555" spans="17:17">
      <c r="Q555" s="594">
        <v>0</v>
      </c>
    </row>
    <row r="556" spans="17:17">
      <c r="Q556" s="594">
        <v>0</v>
      </c>
    </row>
    <row r="557" spans="17:17">
      <c r="Q557" s="594" t="s">
        <v>26</v>
      </c>
    </row>
    <row r="560" spans="17:17">
      <c r="Q560" s="594">
        <v>27</v>
      </c>
    </row>
    <row r="561" spans="17:17">
      <c r="Q561" s="594" t="s">
        <v>27</v>
      </c>
    </row>
    <row r="569" spans="17:17">
      <c r="Q569" s="594" t="s">
        <v>28</v>
      </c>
    </row>
    <row r="572" spans="17:17">
      <c r="Q572" s="594" t="s">
        <v>1015</v>
      </c>
    </row>
    <row r="574" spans="17:17">
      <c r="Q574" s="594" t="s">
        <v>1850</v>
      </c>
    </row>
    <row r="579" spans="17:17">
      <c r="Q579" s="594" t="s">
        <v>31</v>
      </c>
    </row>
    <row r="595" spans="17:17">
      <c r="Q595" s="594">
        <v>0</v>
      </c>
    </row>
    <row r="596" spans="17:17">
      <c r="Q596" s="594">
        <v>0</v>
      </c>
    </row>
    <row r="597" spans="17:17">
      <c r="Q597" s="594">
        <v>0</v>
      </c>
    </row>
    <row r="598" spans="17:17">
      <c r="Q598" s="594">
        <v>0</v>
      </c>
    </row>
    <row r="599" spans="17:17">
      <c r="Q599" s="594">
        <v>0</v>
      </c>
    </row>
    <row r="600" spans="17:17">
      <c r="Q600" s="594" t="s">
        <v>26</v>
      </c>
    </row>
    <row r="603" spans="17:17">
      <c r="Q603" s="594">
        <v>320</v>
      </c>
    </row>
    <row r="604" spans="17:17">
      <c r="Q604" s="594" t="s">
        <v>27</v>
      </c>
    </row>
    <row r="617" spans="17:17">
      <c r="Q617" s="594" t="s">
        <v>28</v>
      </c>
    </row>
    <row r="620" spans="17:17">
      <c r="Q620" s="594" t="s">
        <v>1015</v>
      </c>
    </row>
    <row r="622" spans="17:17">
      <c r="Q622" s="594" t="s">
        <v>1850</v>
      </c>
    </row>
    <row r="627" spans="17:17">
      <c r="Q627" s="594" t="s">
        <v>31</v>
      </c>
    </row>
    <row r="642" spans="17:17">
      <c r="Q642" s="594">
        <v>0</v>
      </c>
    </row>
    <row r="643" spans="17:17">
      <c r="Q643" s="594">
        <v>0</v>
      </c>
    </row>
    <row r="644" spans="17:17">
      <c r="Q644" s="594">
        <v>0</v>
      </c>
    </row>
    <row r="645" spans="17:17">
      <c r="Q645" s="594">
        <v>0</v>
      </c>
    </row>
    <row r="646" spans="17:17">
      <c r="Q646" s="594">
        <v>0</v>
      </c>
    </row>
    <row r="647" spans="17:17">
      <c r="Q647" s="594" t="s">
        <v>26</v>
      </c>
    </row>
    <row r="650" spans="17:17">
      <c r="Q650" s="594">
        <v>380</v>
      </c>
    </row>
    <row r="651" spans="17:17">
      <c r="Q651" s="594" t="s">
        <v>27</v>
      </c>
    </row>
    <row r="663" spans="17:17">
      <c r="Q663" s="594" t="s">
        <v>28</v>
      </c>
    </row>
    <row r="666" spans="17:17">
      <c r="Q666" s="594" t="s">
        <v>1015</v>
      </c>
    </row>
    <row r="668" spans="17:17">
      <c r="Q668" s="594" t="s">
        <v>1850</v>
      </c>
    </row>
    <row r="673" spans="17:17">
      <c r="Q673" s="594" t="s">
        <v>31</v>
      </c>
    </row>
    <row r="688" spans="17:17">
      <c r="Q688" s="594">
        <v>0</v>
      </c>
    </row>
    <row r="689" spans="17:17">
      <c r="Q689" s="594">
        <v>0</v>
      </c>
    </row>
    <row r="690" spans="17:17">
      <c r="Q690" s="594">
        <v>0</v>
      </c>
    </row>
    <row r="691" spans="17:17">
      <c r="Q691" s="594">
        <v>0</v>
      </c>
    </row>
    <row r="692" spans="17:17">
      <c r="Q692" s="594">
        <v>0</v>
      </c>
    </row>
    <row r="693" spans="17:17">
      <c r="Q693" s="594" t="s">
        <v>26</v>
      </c>
    </row>
    <row r="696" spans="17:17">
      <c r="Q696" s="594">
        <v>275</v>
      </c>
    </row>
    <row r="697" spans="17:17">
      <c r="Q697" s="594" t="s">
        <v>27</v>
      </c>
    </row>
    <row r="709" spans="17:17">
      <c r="Q709" s="594" t="s">
        <v>28</v>
      </c>
    </row>
    <row r="712" spans="17:17">
      <c r="Q712" s="594" t="s">
        <v>1015</v>
      </c>
    </row>
    <row r="714" spans="17:17">
      <c r="Q714" s="594" t="s">
        <v>1851</v>
      </c>
    </row>
    <row r="719" spans="17:17">
      <c r="Q719" s="594" t="s">
        <v>31</v>
      </c>
    </row>
    <row r="734" spans="17:17">
      <c r="Q734" s="594">
        <v>0</v>
      </c>
    </row>
    <row r="735" spans="17:17">
      <c r="Q735" s="594">
        <v>0</v>
      </c>
    </row>
    <row r="736" spans="17:17">
      <c r="Q736" s="594">
        <v>0</v>
      </c>
    </row>
    <row r="737" spans="17:17">
      <c r="Q737" s="594">
        <v>0</v>
      </c>
    </row>
    <row r="738" spans="17:17">
      <c r="Q738" s="594">
        <v>0</v>
      </c>
    </row>
    <row r="739" spans="17:17">
      <c r="Q739" s="594" t="s">
        <v>26</v>
      </c>
    </row>
    <row r="742" spans="17:17">
      <c r="Q742" s="594">
        <v>260</v>
      </c>
    </row>
    <row r="743" spans="17:17">
      <c r="Q743" s="594" t="s">
        <v>27</v>
      </c>
    </row>
    <row r="755" spans="17:17">
      <c r="Q755" s="594" t="s">
        <v>28</v>
      </c>
    </row>
    <row r="758" spans="17:17">
      <c r="Q758" s="594" t="s">
        <v>1015</v>
      </c>
    </row>
    <row r="760" spans="17:17">
      <c r="Q760" s="594" t="e">
        <v>#N/A</v>
      </c>
    </row>
    <row r="765" spans="17:17">
      <c r="Q765" s="594" t="s">
        <v>31</v>
      </c>
    </row>
    <row r="782" spans="17:17">
      <c r="Q782" s="594">
        <v>0</v>
      </c>
    </row>
    <row r="783" spans="17:17">
      <c r="Q783" s="594">
        <v>0</v>
      </c>
    </row>
    <row r="784" spans="17:17">
      <c r="Q784" s="594">
        <v>0</v>
      </c>
    </row>
    <row r="785" spans="17:17">
      <c r="Q785" s="594">
        <v>0</v>
      </c>
    </row>
    <row r="786" spans="17:17">
      <c r="Q786" s="594">
        <v>0</v>
      </c>
    </row>
    <row r="787" spans="17:17">
      <c r="Q787" s="594" t="s">
        <v>26</v>
      </c>
    </row>
    <row r="790" spans="17:17">
      <c r="Q790" s="594">
        <v>4800</v>
      </c>
    </row>
    <row r="791" spans="17:17">
      <c r="Q791" s="594" t="s">
        <v>27</v>
      </c>
    </row>
    <row r="803" spans="17:17">
      <c r="Q803" s="594" t="s">
        <v>28</v>
      </c>
    </row>
    <row r="807" spans="17:17">
      <c r="Q807" s="594" t="s">
        <v>1015</v>
      </c>
    </row>
    <row r="809" spans="17:17">
      <c r="Q809" s="594" t="e">
        <v>#N/A</v>
      </c>
    </row>
    <row r="814" spans="17:17">
      <c r="Q814" s="594" t="s">
        <v>31</v>
      </c>
    </row>
    <row r="831" spans="17:17">
      <c r="Q831" s="594">
        <v>0</v>
      </c>
    </row>
    <row r="832" spans="17:17">
      <c r="Q832" s="594">
        <v>0</v>
      </c>
    </row>
    <row r="833" spans="17:17">
      <c r="Q833" s="594">
        <v>0</v>
      </c>
    </row>
    <row r="834" spans="17:17">
      <c r="Q834" s="594">
        <v>0</v>
      </c>
    </row>
    <row r="835" spans="17:17">
      <c r="Q835" s="594">
        <v>0</v>
      </c>
    </row>
    <row r="836" spans="17:17">
      <c r="Q836" s="594" t="s">
        <v>26</v>
      </c>
    </row>
    <row r="839" spans="17:17">
      <c r="Q839" s="594">
        <v>5500</v>
      </c>
    </row>
    <row r="840" spans="17:17">
      <c r="Q840" s="594" t="s">
        <v>27</v>
      </c>
    </row>
    <row r="852" spans="17:17">
      <c r="Q852" s="594" t="s">
        <v>28</v>
      </c>
    </row>
    <row r="856" spans="17:17">
      <c r="Q856" s="594" t="s">
        <v>1015</v>
      </c>
    </row>
    <row r="858" spans="17:17">
      <c r="Q858" s="594" t="e">
        <v>#N/A</v>
      </c>
    </row>
    <row r="863" spans="17:17">
      <c r="Q863" s="594" t="s">
        <v>31</v>
      </c>
    </row>
    <row r="878" spans="17:17">
      <c r="Q878" s="594">
        <v>0</v>
      </c>
    </row>
    <row r="879" spans="17:17">
      <c r="Q879" s="594">
        <v>0</v>
      </c>
    </row>
    <row r="880" spans="17:17">
      <c r="Q880" s="594">
        <v>0</v>
      </c>
    </row>
    <row r="881" spans="17:17">
      <c r="Q881" s="594">
        <v>0</v>
      </c>
    </row>
    <row r="882" spans="17:17">
      <c r="Q882" s="594">
        <v>0</v>
      </c>
    </row>
    <row r="883" spans="17:17">
      <c r="Q883" s="594" t="s">
        <v>26</v>
      </c>
    </row>
    <row r="886" spans="17:17">
      <c r="Q886" s="594">
        <v>2333.3333333333335</v>
      </c>
    </row>
    <row r="887" spans="17:17">
      <c r="Q887" s="594" t="s">
        <v>27</v>
      </c>
    </row>
    <row r="899" spans="17:17">
      <c r="Q899" s="594" t="s">
        <v>28</v>
      </c>
    </row>
    <row r="902" spans="17:17">
      <c r="Q902" s="594" t="s">
        <v>1015</v>
      </c>
    </row>
    <row r="904" spans="17:17">
      <c r="Q904" s="594" t="e">
        <v>#N/A</v>
      </c>
    </row>
    <row r="909" spans="17:17">
      <c r="Q909" s="594" t="s">
        <v>31</v>
      </c>
    </row>
    <row r="924" spans="17:17">
      <c r="Q924" s="594">
        <v>0</v>
      </c>
    </row>
    <row r="925" spans="17:17">
      <c r="Q925" s="594">
        <v>0</v>
      </c>
    </row>
    <row r="926" spans="17:17">
      <c r="Q926" s="594">
        <v>0</v>
      </c>
    </row>
    <row r="927" spans="17:17">
      <c r="Q927" s="594">
        <v>0</v>
      </c>
    </row>
    <row r="928" spans="17:17">
      <c r="Q928" s="594">
        <v>0</v>
      </c>
    </row>
    <row r="929" spans="17:17">
      <c r="Q929" s="594" t="s">
        <v>26</v>
      </c>
    </row>
    <row r="932" spans="17:17">
      <c r="Q932" s="594">
        <v>290</v>
      </c>
    </row>
    <row r="933" spans="17:17">
      <c r="Q933" s="594" t="s">
        <v>27</v>
      </c>
    </row>
    <row r="945" spans="17:17">
      <c r="Q945" s="594" t="s">
        <v>28</v>
      </c>
    </row>
    <row r="948" spans="17:17">
      <c r="Q948" s="594" t="s">
        <v>1015</v>
      </c>
    </row>
    <row r="950" spans="17:17">
      <c r="Q950" s="594" t="e">
        <v>#N/A</v>
      </c>
    </row>
    <row r="955" spans="17:17">
      <c r="Q955" s="594" t="s">
        <v>31</v>
      </c>
    </row>
    <row r="969" spans="17:17">
      <c r="Q969" s="594">
        <v>0</v>
      </c>
    </row>
    <row r="970" spans="17:17">
      <c r="Q970" s="594">
        <v>0</v>
      </c>
    </row>
    <row r="971" spans="17:17">
      <c r="Q971" s="594">
        <v>0</v>
      </c>
    </row>
    <row r="972" spans="17:17">
      <c r="Q972" s="594">
        <v>0</v>
      </c>
    </row>
    <row r="973" spans="17:17">
      <c r="Q973" s="594">
        <v>0</v>
      </c>
    </row>
    <row r="974" spans="17:17">
      <c r="Q974" s="594" t="s">
        <v>26</v>
      </c>
    </row>
    <row r="977" spans="17:17">
      <c r="Q977" s="594">
        <v>3</v>
      </c>
    </row>
    <row r="978" spans="17:17">
      <c r="Q978" s="594" t="s">
        <v>27</v>
      </c>
    </row>
    <row r="991" spans="17:17">
      <c r="Q991" s="594" t="s">
        <v>28</v>
      </c>
    </row>
    <row r="994" spans="17:17">
      <c r="Q994" s="594" t="s">
        <v>1015</v>
      </c>
    </row>
    <row r="996" spans="17:17">
      <c r="Q996" s="594" t="e">
        <v>#N/A</v>
      </c>
    </row>
    <row r="1001" spans="17:17">
      <c r="Q1001" s="594" t="s">
        <v>31</v>
      </c>
    </row>
    <row r="1015" spans="17:17">
      <c r="Q1015" s="594">
        <v>0</v>
      </c>
    </row>
    <row r="1016" spans="17:17">
      <c r="Q1016" s="594">
        <v>0</v>
      </c>
    </row>
    <row r="1017" spans="17:17">
      <c r="Q1017" s="594">
        <v>0</v>
      </c>
    </row>
    <row r="1018" spans="17:17">
      <c r="Q1018" s="594">
        <v>0</v>
      </c>
    </row>
    <row r="1019" spans="17:17">
      <c r="Q1019" s="594">
        <v>0</v>
      </c>
    </row>
    <row r="1020" spans="17:17">
      <c r="Q1020" s="594" t="s">
        <v>26</v>
      </c>
    </row>
    <row r="1023" spans="17:17">
      <c r="Q1023" s="594">
        <v>3</v>
      </c>
    </row>
    <row r="1024" spans="17:17">
      <c r="Q1024" s="594" t="s">
        <v>27</v>
      </c>
    </row>
    <row r="1037" spans="17:17">
      <c r="Q1037" s="594" t="s">
        <v>28</v>
      </c>
    </row>
    <row r="1041" spans="17:17">
      <c r="Q1041" s="594" t="s">
        <v>1015</v>
      </c>
    </row>
    <row r="1043" spans="17:17">
      <c r="Q1043" s="594" t="e">
        <v>#N/A</v>
      </c>
    </row>
    <row r="1048" spans="17:17">
      <c r="Q1048" s="594" t="s">
        <v>31</v>
      </c>
    </row>
    <row r="1063" spans="17:17">
      <c r="Q1063" s="594">
        <v>0</v>
      </c>
    </row>
    <row r="1064" spans="17:17">
      <c r="Q1064" s="594">
        <v>0</v>
      </c>
    </row>
    <row r="1065" spans="17:17">
      <c r="Q1065" s="594">
        <v>0</v>
      </c>
    </row>
    <row r="1066" spans="17:17">
      <c r="Q1066" s="594">
        <v>0</v>
      </c>
    </row>
    <row r="1067" spans="17:17">
      <c r="Q1067" s="594">
        <v>0</v>
      </c>
    </row>
    <row r="1068" spans="17:17">
      <c r="Q1068" s="594" t="s">
        <v>26</v>
      </c>
    </row>
    <row r="1071" spans="17:17">
      <c r="Q1071" s="594">
        <v>7</v>
      </c>
    </row>
    <row r="1072" spans="17:17">
      <c r="Q1072" s="594" t="s">
        <v>27</v>
      </c>
    </row>
    <row r="1080" spans="17:17">
      <c r="Q1080" s="594" t="s">
        <v>28</v>
      </c>
    </row>
    <row r="1084" spans="17:17">
      <c r="Q1084" s="594" t="s">
        <v>1015</v>
      </c>
    </row>
    <row r="1086" spans="17:17">
      <c r="Q1086" s="594" t="e">
        <v>#N/A</v>
      </c>
    </row>
    <row r="1091" spans="17:17">
      <c r="Q1091" s="594" t="s">
        <v>31</v>
      </c>
    </row>
    <row r="1106" spans="17:17">
      <c r="Q1106" s="594">
        <v>0</v>
      </c>
    </row>
    <row r="1107" spans="17:17">
      <c r="Q1107" s="594">
        <v>0</v>
      </c>
    </row>
    <row r="1108" spans="17:17">
      <c r="Q1108" s="594">
        <v>0</v>
      </c>
    </row>
    <row r="1109" spans="17:17">
      <c r="Q1109" s="594">
        <v>0</v>
      </c>
    </row>
    <row r="1110" spans="17:17">
      <c r="Q1110" s="594">
        <v>0</v>
      </c>
    </row>
    <row r="1111" spans="17:17">
      <c r="Q1111" s="594" t="s">
        <v>26</v>
      </c>
    </row>
    <row r="1114" spans="17:17">
      <c r="Q1114" s="594">
        <v>5</v>
      </c>
    </row>
    <row r="1115" spans="17:17">
      <c r="Q1115" s="594" t="s">
        <v>27</v>
      </c>
    </row>
    <row r="1126" spans="17:17">
      <c r="Q1126" s="594" t="s">
        <v>28</v>
      </c>
    </row>
    <row r="1130" spans="17:17">
      <c r="Q1130" s="594" t="s">
        <v>1015</v>
      </c>
    </row>
    <row r="1132" spans="17:17">
      <c r="Q1132" s="594" t="e">
        <v>#N/A</v>
      </c>
    </row>
    <row r="1137" spans="17:17">
      <c r="Q1137" s="594" t="s">
        <v>31</v>
      </c>
    </row>
    <row r="1152" spans="17:17">
      <c r="Q1152" s="594">
        <v>0</v>
      </c>
    </row>
    <row r="1153" spans="17:17">
      <c r="Q1153" s="594">
        <v>0</v>
      </c>
    </row>
    <row r="1154" spans="17:17">
      <c r="Q1154" s="594">
        <v>0</v>
      </c>
    </row>
    <row r="1155" spans="17:17">
      <c r="Q1155" s="594">
        <v>0</v>
      </c>
    </row>
    <row r="1156" spans="17:17">
      <c r="Q1156" s="594">
        <v>0</v>
      </c>
    </row>
    <row r="1157" spans="17:17">
      <c r="Q1157" s="594" t="s">
        <v>26</v>
      </c>
    </row>
    <row r="1160" spans="17:17">
      <c r="Q1160" s="594">
        <v>3</v>
      </c>
    </row>
    <row r="1161" spans="17:17">
      <c r="Q1161" s="594" t="s">
        <v>27</v>
      </c>
    </row>
    <row r="1170" spans="17:17">
      <c r="Q1170" s="594" t="s">
        <v>28</v>
      </c>
    </row>
    <row r="1174" spans="17:17">
      <c r="Q1174" s="594" t="s">
        <v>1015</v>
      </c>
    </row>
    <row r="1176" spans="17:17">
      <c r="Q1176" s="594" t="e">
        <v>#N/A</v>
      </c>
    </row>
    <row r="1181" spans="17:17">
      <c r="Q1181" s="594" t="s">
        <v>31</v>
      </c>
    </row>
    <row r="1198" spans="17:17">
      <c r="Q1198" s="594">
        <v>0</v>
      </c>
    </row>
    <row r="1199" spans="17:17">
      <c r="Q1199" s="594">
        <v>0</v>
      </c>
    </row>
    <row r="1200" spans="17:17">
      <c r="Q1200" s="594">
        <v>0</v>
      </c>
    </row>
    <row r="1201" spans="17:17">
      <c r="Q1201" s="594">
        <v>0</v>
      </c>
    </row>
    <row r="1202" spans="17:17">
      <c r="Q1202" s="594">
        <v>0</v>
      </c>
    </row>
    <row r="1203" spans="17:17">
      <c r="Q1203" s="594" t="s">
        <v>26</v>
      </c>
    </row>
    <row r="1206" spans="17:17">
      <c r="Q1206" s="594">
        <v>0.2</v>
      </c>
    </row>
    <row r="1207" spans="17:17">
      <c r="Q1207" s="594" t="s">
        <v>27</v>
      </c>
    </row>
    <row r="1220" spans="17:17">
      <c r="Q1220" s="594" t="s">
        <v>28</v>
      </c>
    </row>
    <row r="1224" spans="17:17">
      <c r="Q1224" s="594" t="s">
        <v>1015</v>
      </c>
    </row>
    <row r="1226" spans="17:17">
      <c r="Q1226" s="594" t="e">
        <v>#N/A</v>
      </c>
    </row>
    <row r="1231" spans="17:17">
      <c r="Q1231" s="594" t="s">
        <v>31</v>
      </c>
    </row>
    <row r="1249" spans="17:17">
      <c r="Q1249" s="594">
        <v>0</v>
      </c>
    </row>
    <row r="1250" spans="17:17">
      <c r="Q1250" s="594">
        <v>0</v>
      </c>
    </row>
    <row r="1251" spans="17:17">
      <c r="Q1251" s="594">
        <v>0</v>
      </c>
    </row>
    <row r="1252" spans="17:17">
      <c r="Q1252" s="594">
        <v>0</v>
      </c>
    </row>
    <row r="1253" spans="17:17">
      <c r="Q1253" s="594">
        <v>0</v>
      </c>
    </row>
    <row r="1254" spans="17:17">
      <c r="Q1254" s="594" t="s">
        <v>26</v>
      </c>
    </row>
    <row r="1257" spans="17:17">
      <c r="Q1257" s="594">
        <v>0.2</v>
      </c>
    </row>
    <row r="1258" spans="17:17">
      <c r="Q1258" s="594" t="s">
        <v>27</v>
      </c>
    </row>
    <row r="1270" spans="17:17">
      <c r="Q1270" s="594" t="s">
        <v>28</v>
      </c>
    </row>
    <row r="1274" spans="17:17">
      <c r="Q1274" s="594" t="s">
        <v>1015</v>
      </c>
    </row>
    <row r="1276" spans="17:17">
      <c r="Q1276" s="594" t="e">
        <v>#N/A</v>
      </c>
    </row>
    <row r="1280" spans="17:17">
      <c r="Q1280" s="594" t="s">
        <v>31</v>
      </c>
    </row>
    <row r="1297" spans="17:17">
      <c r="Q1297" s="594">
        <v>0</v>
      </c>
    </row>
    <row r="1298" spans="17:17">
      <c r="Q1298" s="594">
        <v>0</v>
      </c>
    </row>
    <row r="1299" spans="17:17">
      <c r="Q1299" s="594">
        <v>0</v>
      </c>
    </row>
    <row r="1300" spans="17:17">
      <c r="Q1300" s="594">
        <v>0</v>
      </c>
    </row>
    <row r="1301" spans="17:17">
      <c r="Q1301" s="594">
        <v>0</v>
      </c>
    </row>
    <row r="1302" spans="17:17">
      <c r="Q1302" s="594" t="s">
        <v>26</v>
      </c>
    </row>
    <row r="1305" spans="17:17">
      <c r="Q1305" s="594">
        <v>0.2</v>
      </c>
    </row>
    <row r="1306" spans="17:17">
      <c r="Q1306" s="594" t="s">
        <v>27</v>
      </c>
    </row>
    <row r="1319" spans="17:17">
      <c r="Q1319" s="594" t="s">
        <v>28</v>
      </c>
    </row>
    <row r="1323" spans="17:17">
      <c r="Q1323" s="594" t="s">
        <v>1015</v>
      </c>
    </row>
    <row r="1325" spans="17:17">
      <c r="Q1325" s="594" t="e">
        <v>#N/A</v>
      </c>
    </row>
    <row r="1329" spans="17:17">
      <c r="Q1329" s="594" t="s">
        <v>31</v>
      </c>
    </row>
    <row r="1346" spans="17:17">
      <c r="Q1346" s="594">
        <v>0</v>
      </c>
    </row>
    <row r="1347" spans="17:17">
      <c r="Q1347" s="594">
        <v>0</v>
      </c>
    </row>
    <row r="1348" spans="17:17">
      <c r="Q1348" s="594">
        <v>0</v>
      </c>
    </row>
    <row r="1349" spans="17:17">
      <c r="Q1349" s="594">
        <v>0</v>
      </c>
    </row>
    <row r="1350" spans="17:17">
      <c r="Q1350" s="594">
        <v>0</v>
      </c>
    </row>
    <row r="1351" spans="17:17">
      <c r="Q1351" s="594" t="s">
        <v>26</v>
      </c>
    </row>
    <row r="1354" spans="17:17">
      <c r="Q1354" s="594">
        <v>600</v>
      </c>
    </row>
    <row r="1355" spans="17:17">
      <c r="Q1355" s="594" t="s">
        <v>27</v>
      </c>
    </row>
    <row r="1368" spans="17:17">
      <c r="Q1368" s="594" t="s">
        <v>28</v>
      </c>
    </row>
    <row r="1372" spans="17:17">
      <c r="Q1372" s="594" t="s">
        <v>1015</v>
      </c>
    </row>
    <row r="1374" spans="17:17">
      <c r="Q1374" s="594" t="e">
        <v>#N/A</v>
      </c>
    </row>
    <row r="1378" spans="17:17">
      <c r="Q1378" s="594" t="s">
        <v>31</v>
      </c>
    </row>
    <row r="1395" spans="17:17">
      <c r="Q1395" s="594">
        <v>0</v>
      </c>
    </row>
    <row r="1396" spans="17:17">
      <c r="Q1396" s="594">
        <v>0</v>
      </c>
    </row>
    <row r="1397" spans="17:17">
      <c r="Q1397" s="594">
        <v>0</v>
      </c>
    </row>
    <row r="1398" spans="17:17">
      <c r="Q1398" s="594">
        <v>0</v>
      </c>
    </row>
    <row r="1399" spans="17:17">
      <c r="Q1399" s="594">
        <v>0</v>
      </c>
    </row>
    <row r="1400" spans="17:17">
      <c r="Q1400" s="594" t="s">
        <v>26</v>
      </c>
    </row>
    <row r="1403" spans="17:17">
      <c r="Q1403" s="594">
        <v>8.5000000000000006E-3</v>
      </c>
    </row>
    <row r="1404" spans="17:17">
      <c r="Q1404" s="594" t="s">
        <v>27</v>
      </c>
    </row>
    <row r="1416" spans="17:17">
      <c r="Q1416" s="594" t="s">
        <v>28</v>
      </c>
    </row>
    <row r="1420" spans="17:17">
      <c r="Q1420" s="594" t="s">
        <v>1015</v>
      </c>
    </row>
    <row r="1422" spans="17:17">
      <c r="Q1422" s="594" t="e">
        <v>#N/A</v>
      </c>
    </row>
  </sheetData>
  <sortState ref="O1:Q1422">
    <sortCondition ref="O1:O1422"/>
  </sortState>
  <mergeCells count="1">
    <mergeCell ref="A6:K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63"/>
  <sheetViews>
    <sheetView topLeftCell="A46" workbookViewId="0">
      <selection activeCell="A63" sqref="A63"/>
    </sheetView>
  </sheetViews>
  <sheetFormatPr baseColWidth="10" defaultColWidth="11.42578125" defaultRowHeight="12.75"/>
  <cols>
    <col min="1" max="1" width="8.42578125" style="583" customWidth="1"/>
    <col min="2" max="2" width="12.42578125" style="68" customWidth="1"/>
    <col min="3" max="3" width="48.5703125" style="68" customWidth="1"/>
    <col min="4" max="4" width="9" style="68" customWidth="1"/>
    <col min="5" max="5" width="13.5703125" style="68" bestFit="1" customWidth="1"/>
    <col min="6" max="16384" width="11.42578125" style="68"/>
  </cols>
  <sheetData>
    <row r="1" spans="1:6" s="594" customFormat="1">
      <c r="A1" s="594" t="s">
        <v>2072</v>
      </c>
    </row>
    <row r="2" spans="1:6" s="594" customFormat="1">
      <c r="A2" s="594" t="s">
        <v>2073</v>
      </c>
    </row>
    <row r="3" spans="1:6" s="594" customFormat="1">
      <c r="A3" s="594" t="s">
        <v>2074</v>
      </c>
    </row>
    <row r="4" spans="1:6" s="594" customFormat="1"/>
    <row r="5" spans="1:6" s="594" customFormat="1"/>
    <row r="6" spans="1:6" ht="15.75">
      <c r="B6" s="701" t="s">
        <v>1855</v>
      </c>
      <c r="C6" s="701"/>
      <c r="D6" s="701"/>
      <c r="E6" s="701"/>
      <c r="F6" s="701"/>
    </row>
    <row r="8" spans="1:6" s="70" customFormat="1">
      <c r="A8" s="587"/>
      <c r="B8" s="105" t="s">
        <v>1854</v>
      </c>
      <c r="C8" s="105" t="s">
        <v>1815</v>
      </c>
      <c r="D8" s="105" t="s">
        <v>1</v>
      </c>
      <c r="E8" s="700" t="s">
        <v>1856</v>
      </c>
      <c r="F8" s="700"/>
    </row>
    <row r="9" spans="1:6">
      <c r="B9" s="600"/>
      <c r="C9" s="600"/>
      <c r="D9" s="600"/>
      <c r="E9" s="601"/>
      <c r="F9" s="602"/>
    </row>
    <row r="10" spans="1:6">
      <c r="A10" s="587">
        <v>1</v>
      </c>
      <c r="B10" s="105">
        <f t="shared" ref="B10:B56" si="0">IFERROR(VLOOKUP(A10,T_NumeroItem,2,FALSE),"")</f>
        <v>1</v>
      </c>
      <c r="C10" s="488" t="str">
        <f t="shared" ref="C10:C47" si="1">IFERROR(VLOOKUP(B10,T_Datos,2,FALSE),"")</f>
        <v>PROYECTO EJECUTIVO</v>
      </c>
      <c r="D10" s="105" t="str">
        <f t="shared" ref="D10:D47" si="2">IFERROR(VLOOKUP(B10,T_Datos,3,FALSE),"")</f>
        <v>gl.</v>
      </c>
      <c r="E10" s="601"/>
      <c r="F10" s="603" t="str">
        <f>D10&amp;"/dia"</f>
        <v>gl./dia</v>
      </c>
    </row>
    <row r="11" spans="1:6">
      <c r="A11" s="587">
        <v>2</v>
      </c>
      <c r="B11" s="105" t="str">
        <f t="shared" si="0"/>
        <v>2.1</v>
      </c>
      <c r="C11" s="488" t="str">
        <f t="shared" si="1"/>
        <v>Limpieza inicial y Relevamientos Topograficos</v>
      </c>
      <c r="D11" s="105" t="str">
        <f t="shared" si="2"/>
        <v>gl.</v>
      </c>
      <c r="E11" s="601"/>
      <c r="F11" s="603" t="str">
        <f t="shared" ref="F11:F47" si="3">D11&amp;"/dia"</f>
        <v>gl./dia</v>
      </c>
    </row>
    <row r="12" spans="1:6">
      <c r="A12" s="587">
        <v>3</v>
      </c>
      <c r="B12" s="105" t="str">
        <f t="shared" si="0"/>
        <v>2.2</v>
      </c>
      <c r="C12" s="488" t="str">
        <f t="shared" si="1"/>
        <v>Replanteo y Ajustes</v>
      </c>
      <c r="D12" s="105" t="str">
        <f t="shared" si="2"/>
        <v>gl.</v>
      </c>
      <c r="E12" s="601"/>
      <c r="F12" s="603" t="str">
        <f t="shared" si="3"/>
        <v>gl./dia</v>
      </c>
    </row>
    <row r="13" spans="1:6">
      <c r="A13" s="587">
        <v>4</v>
      </c>
      <c r="B13" s="105" t="str">
        <f t="shared" si="0"/>
        <v>3.1.1</v>
      </c>
      <c r="C13" s="488" t="str">
        <f t="shared" si="1"/>
        <v>Reemplazo de compuertas frontales azud</v>
      </c>
      <c r="D13" s="105" t="str">
        <f t="shared" si="2"/>
        <v>gl.</v>
      </c>
      <c r="E13" s="601"/>
      <c r="F13" s="603" t="str">
        <f t="shared" si="3"/>
        <v>gl./dia</v>
      </c>
    </row>
    <row r="14" spans="1:6">
      <c r="A14" s="587">
        <v>5</v>
      </c>
      <c r="B14" s="105" t="str">
        <f t="shared" si="0"/>
        <v>3.1.2</v>
      </c>
      <c r="C14" s="488" t="str">
        <f t="shared" si="1"/>
        <v>Motorizacion/Electrificacion compuertas frontales azud</v>
      </c>
      <c r="D14" s="105" t="str">
        <f t="shared" si="2"/>
        <v>gl.</v>
      </c>
      <c r="E14" s="601"/>
      <c r="F14" s="603" t="str">
        <f t="shared" si="3"/>
        <v>gl./dia</v>
      </c>
    </row>
    <row r="15" spans="1:6">
      <c r="A15" s="587">
        <v>6</v>
      </c>
      <c r="B15" s="105" t="str">
        <f t="shared" si="0"/>
        <v>3.1.3</v>
      </c>
      <c r="C15" s="488" t="str">
        <f t="shared" si="1"/>
        <v>Grupo electrógeno 20kVA</v>
      </c>
      <c r="D15" s="105" t="str">
        <f t="shared" si="2"/>
        <v>gl.</v>
      </c>
      <c r="E15" s="601"/>
      <c r="F15" s="603" t="str">
        <f t="shared" si="3"/>
        <v>gl./dia</v>
      </c>
    </row>
    <row r="16" spans="1:6">
      <c r="A16" s="587">
        <v>7</v>
      </c>
      <c r="B16" s="105" t="str">
        <f t="shared" si="0"/>
        <v>3.2.1</v>
      </c>
      <c r="C16" s="488" t="str">
        <f t="shared" si="1"/>
        <v>Reemplazo de compuertas desripiador</v>
      </c>
      <c r="D16" s="105" t="str">
        <f t="shared" si="2"/>
        <v>gl.</v>
      </c>
      <c r="E16" s="601"/>
      <c r="F16" s="603" t="str">
        <f t="shared" si="3"/>
        <v>gl./dia</v>
      </c>
    </row>
    <row r="17" spans="1:6">
      <c r="A17" s="587">
        <v>8</v>
      </c>
      <c r="B17" s="105" t="str">
        <f t="shared" si="0"/>
        <v>3.3.1</v>
      </c>
      <c r="C17" s="488" t="str">
        <f t="shared" si="1"/>
        <v>Reemplazo de compuertas obra de toma</v>
      </c>
      <c r="D17" s="105" t="str">
        <f t="shared" si="2"/>
        <v>gl.</v>
      </c>
      <c r="E17" s="601"/>
      <c r="F17" s="603" t="str">
        <f t="shared" si="3"/>
        <v>gl./dia</v>
      </c>
    </row>
    <row r="18" spans="1:6">
      <c r="A18" s="587">
        <v>9</v>
      </c>
      <c r="B18" s="105" t="str">
        <f t="shared" si="0"/>
        <v>3.3.2</v>
      </c>
      <c r="C18" s="488" t="str">
        <f t="shared" si="1"/>
        <v>Motorizacion/Electrificacion obra de toma</v>
      </c>
      <c r="D18" s="105" t="str">
        <f t="shared" si="2"/>
        <v>gl.</v>
      </c>
      <c r="E18" s="601"/>
      <c r="F18" s="603" t="str">
        <f t="shared" si="3"/>
        <v>gl./dia</v>
      </c>
    </row>
    <row r="19" spans="1:6">
      <c r="A19" s="587">
        <v>10</v>
      </c>
      <c r="B19" s="105" t="str">
        <f t="shared" si="0"/>
        <v>3.4.1</v>
      </c>
      <c r="C19" s="488" t="str">
        <f t="shared" si="1"/>
        <v>Reacondicionamiento pasarela</v>
      </c>
      <c r="D19" s="105" t="str">
        <f t="shared" si="2"/>
        <v>gl.</v>
      </c>
      <c r="E19" s="601"/>
      <c r="F19" s="603" t="str">
        <f t="shared" si="3"/>
        <v>gl./dia</v>
      </c>
    </row>
    <row r="20" spans="1:6">
      <c r="A20" s="587">
        <v>11</v>
      </c>
      <c r="B20" s="105" t="str">
        <f t="shared" si="0"/>
        <v>3.4.2</v>
      </c>
      <c r="C20" s="488" t="str">
        <f t="shared" si="1"/>
        <v>Mantenimiento grupo electrogeno existente</v>
      </c>
      <c r="D20" s="105" t="str">
        <f t="shared" si="2"/>
        <v>gl.</v>
      </c>
      <c r="E20" s="601"/>
      <c r="F20" s="603" t="str">
        <f t="shared" si="3"/>
        <v>gl./dia</v>
      </c>
    </row>
    <row r="21" spans="1:6">
      <c r="A21" s="587">
        <v>12</v>
      </c>
      <c r="B21" s="105" t="str">
        <f t="shared" si="0"/>
        <v>3.4.3</v>
      </c>
      <c r="C21" s="488" t="str">
        <f t="shared" si="1"/>
        <v>Pararrayos</v>
      </c>
      <c r="D21" s="105" t="str">
        <f t="shared" si="2"/>
        <v>gl.</v>
      </c>
      <c r="E21" s="601"/>
      <c r="F21" s="603" t="str">
        <f t="shared" si="3"/>
        <v>gl./dia</v>
      </c>
    </row>
    <row r="22" spans="1:6">
      <c r="A22" s="587">
        <v>13</v>
      </c>
      <c r="B22" s="105" t="str">
        <f t="shared" si="0"/>
        <v>3.4.4</v>
      </c>
      <c r="C22" s="488" t="str">
        <f t="shared" si="1"/>
        <v>Puesta a tierra</v>
      </c>
      <c r="D22" s="105" t="str">
        <f t="shared" si="2"/>
        <v>gl.</v>
      </c>
      <c r="E22" s="601"/>
      <c r="F22" s="603" t="str">
        <f t="shared" si="3"/>
        <v>gl./dia</v>
      </c>
    </row>
    <row r="23" spans="1:6">
      <c r="A23" s="587">
        <v>14</v>
      </c>
      <c r="B23" s="105" t="str">
        <f t="shared" si="0"/>
        <v>4.1.1</v>
      </c>
      <c r="C23" s="488" t="str">
        <f t="shared" si="1"/>
        <v>Reemplazo de compuertas desarenador</v>
      </c>
      <c r="D23" s="105" t="str">
        <f t="shared" si="2"/>
        <v>gl.</v>
      </c>
      <c r="E23" s="601"/>
      <c r="F23" s="603" t="str">
        <f t="shared" si="3"/>
        <v>gl./dia</v>
      </c>
    </row>
    <row r="24" spans="1:6">
      <c r="A24" s="587">
        <v>15</v>
      </c>
      <c r="B24" s="105" t="str">
        <f t="shared" si="0"/>
        <v>4.1.2</v>
      </c>
      <c r="C24" s="488" t="str">
        <f t="shared" si="1"/>
        <v>Motorizacion/Electrificacion desarenador</v>
      </c>
      <c r="D24" s="105" t="str">
        <f t="shared" si="2"/>
        <v>gl.</v>
      </c>
      <c r="E24" s="601"/>
      <c r="F24" s="603" t="str">
        <f t="shared" si="3"/>
        <v>gl./dia</v>
      </c>
    </row>
    <row r="25" spans="1:6">
      <c r="A25" s="587">
        <v>16</v>
      </c>
      <c r="B25" s="105" t="str">
        <f t="shared" si="0"/>
        <v>5.1.1</v>
      </c>
      <c r="C25" s="488" t="str">
        <f t="shared" si="1"/>
        <v>Limpieza camino de servicio</v>
      </c>
      <c r="D25" s="105" t="str">
        <f t="shared" si="2"/>
        <v>m</v>
      </c>
      <c r="E25" s="601"/>
      <c r="F25" s="603" t="str">
        <f t="shared" si="3"/>
        <v>m/dia</v>
      </c>
    </row>
    <row r="26" spans="1:6">
      <c r="A26" s="587">
        <v>17</v>
      </c>
      <c r="B26" s="105" t="str">
        <f t="shared" si="0"/>
        <v>5.1.2</v>
      </c>
      <c r="C26" s="488" t="str">
        <f t="shared" si="1"/>
        <v>Limpieza y preparación del terreno</v>
      </c>
      <c r="D26" s="105" t="str">
        <f t="shared" si="2"/>
        <v>m</v>
      </c>
      <c r="E26" s="601"/>
      <c r="F26" s="603" t="str">
        <f t="shared" si="3"/>
        <v>m/dia</v>
      </c>
    </row>
    <row r="27" spans="1:6">
      <c r="A27" s="587">
        <v>18</v>
      </c>
      <c r="B27" s="105" t="str">
        <f t="shared" si="0"/>
        <v>5.1.3</v>
      </c>
      <c r="C27" s="488" t="str">
        <f t="shared" si="1"/>
        <v>Excavación</v>
      </c>
      <c r="D27" s="105" t="str">
        <f t="shared" si="2"/>
        <v>m3</v>
      </c>
      <c r="E27" s="601"/>
      <c r="F27" s="603" t="str">
        <f t="shared" si="3"/>
        <v>m3/dia</v>
      </c>
    </row>
    <row r="28" spans="1:6">
      <c r="A28" s="587">
        <v>19</v>
      </c>
      <c r="B28" s="105" t="str">
        <f t="shared" si="0"/>
        <v>5.1.4</v>
      </c>
      <c r="C28" s="488" t="str">
        <f t="shared" si="1"/>
        <v>Relleno y compactación</v>
      </c>
      <c r="D28" s="105" t="str">
        <f t="shared" si="2"/>
        <v>m3</v>
      </c>
      <c r="E28" s="601"/>
      <c r="F28" s="603" t="str">
        <f t="shared" si="3"/>
        <v>m3/dia</v>
      </c>
    </row>
    <row r="29" spans="1:6">
      <c r="A29" s="587">
        <v>20</v>
      </c>
      <c r="B29" s="105" t="str">
        <f t="shared" si="0"/>
        <v>5.1.5</v>
      </c>
      <c r="C29" s="488" t="str">
        <f t="shared" si="1"/>
        <v>Hormigón H20</v>
      </c>
      <c r="D29" s="105" t="str">
        <f t="shared" si="2"/>
        <v>m3</v>
      </c>
      <c r="E29" s="601"/>
      <c r="F29" s="603" t="str">
        <f t="shared" si="3"/>
        <v>m3/dia</v>
      </c>
    </row>
    <row r="30" spans="1:6">
      <c r="A30" s="587">
        <v>21</v>
      </c>
      <c r="B30" s="105" t="str">
        <f t="shared" si="0"/>
        <v>5.1.6</v>
      </c>
      <c r="C30" s="488" t="str">
        <f t="shared" si="1"/>
        <v>Malla de acero</v>
      </c>
      <c r="D30" s="105" t="str">
        <f t="shared" si="2"/>
        <v>kg</v>
      </c>
      <c r="E30" s="601"/>
      <c r="F30" s="603" t="str">
        <f t="shared" si="3"/>
        <v>kg/dia</v>
      </c>
    </row>
    <row r="31" spans="1:6">
      <c r="A31" s="587">
        <v>22</v>
      </c>
      <c r="B31" s="105" t="str">
        <f t="shared" si="0"/>
        <v>5.1.7</v>
      </c>
      <c r="C31" s="488" t="str">
        <f t="shared" si="1"/>
        <v>Hormigón armado H20</v>
      </c>
      <c r="D31" s="105" t="str">
        <f t="shared" si="2"/>
        <v>m3</v>
      </c>
      <c r="E31" s="601"/>
      <c r="F31" s="603" t="str">
        <f t="shared" si="3"/>
        <v>m3/dia</v>
      </c>
    </row>
    <row r="32" spans="1:6">
      <c r="A32" s="587">
        <v>23</v>
      </c>
      <c r="B32" s="105" t="str">
        <f t="shared" si="0"/>
        <v>5.2.1</v>
      </c>
      <c r="C32" s="488" t="str">
        <f t="shared" si="1"/>
        <v>Rehabilitacion camino de servicio</v>
      </c>
      <c r="D32" s="105" t="str">
        <f t="shared" si="2"/>
        <v>m</v>
      </c>
      <c r="E32" s="601"/>
      <c r="F32" s="603" t="str">
        <f t="shared" si="3"/>
        <v>m/dia</v>
      </c>
    </row>
    <row r="33" spans="1:6">
      <c r="A33" s="587">
        <v>24</v>
      </c>
      <c r="B33" s="105" t="str">
        <f t="shared" si="0"/>
        <v>5.2.2</v>
      </c>
      <c r="C33" s="488" t="str">
        <f t="shared" si="1"/>
        <v>Limpieza y preparación del terreno</v>
      </c>
      <c r="D33" s="105" t="str">
        <f t="shared" si="2"/>
        <v>m</v>
      </c>
      <c r="E33" s="601"/>
      <c r="F33" s="603" t="str">
        <f t="shared" si="3"/>
        <v>m/dia</v>
      </c>
    </row>
    <row r="34" spans="1:6">
      <c r="A34" s="587">
        <v>25</v>
      </c>
      <c r="B34" s="105" t="str">
        <f t="shared" si="0"/>
        <v>5.2.3</v>
      </c>
      <c r="C34" s="488" t="str">
        <f t="shared" si="1"/>
        <v>Demoliciones</v>
      </c>
      <c r="D34" s="105" t="str">
        <f t="shared" si="2"/>
        <v>m3</v>
      </c>
      <c r="E34" s="601"/>
      <c r="F34" s="603" t="str">
        <f t="shared" si="3"/>
        <v>m3/dia</v>
      </c>
    </row>
    <row r="35" spans="1:6">
      <c r="A35" s="587">
        <v>26</v>
      </c>
      <c r="B35" s="105" t="str">
        <f t="shared" si="0"/>
        <v>5.2.4</v>
      </c>
      <c r="C35" s="488" t="str">
        <f t="shared" si="1"/>
        <v>Excavacion</v>
      </c>
      <c r="D35" s="105" t="str">
        <f t="shared" si="2"/>
        <v>m3</v>
      </c>
      <c r="E35" s="601"/>
      <c r="F35" s="603" t="str">
        <f t="shared" si="3"/>
        <v>m3/dia</v>
      </c>
    </row>
    <row r="36" spans="1:6">
      <c r="A36" s="587">
        <v>27</v>
      </c>
      <c r="B36" s="105" t="str">
        <f t="shared" si="0"/>
        <v>5.2.5</v>
      </c>
      <c r="C36" s="488" t="str">
        <f t="shared" si="1"/>
        <v>Relleno y compactación</v>
      </c>
      <c r="D36" s="105" t="str">
        <f t="shared" si="2"/>
        <v>m3</v>
      </c>
      <c r="E36" s="601"/>
      <c r="F36" s="603" t="str">
        <f t="shared" si="3"/>
        <v>m3/dia</v>
      </c>
    </row>
    <row r="37" spans="1:6">
      <c r="A37" s="587">
        <v>28</v>
      </c>
      <c r="B37" s="105" t="str">
        <f t="shared" si="0"/>
        <v>5.2.6</v>
      </c>
      <c r="C37" s="488" t="str">
        <f t="shared" si="1"/>
        <v>Geotextil</v>
      </c>
      <c r="D37" s="105" t="str">
        <f t="shared" si="2"/>
        <v>m2</v>
      </c>
      <c r="E37" s="601"/>
      <c r="F37" s="603" t="str">
        <f t="shared" si="3"/>
        <v>m2/dia</v>
      </c>
    </row>
    <row r="38" spans="1:6">
      <c r="A38" s="587">
        <v>29</v>
      </c>
      <c r="B38" s="105" t="str">
        <f t="shared" si="0"/>
        <v>5.2.7</v>
      </c>
      <c r="C38" s="488" t="str">
        <f t="shared" si="1"/>
        <v>Grava de asiento</v>
      </c>
      <c r="D38" s="105" t="str">
        <f t="shared" si="2"/>
        <v>m3</v>
      </c>
      <c r="E38" s="601"/>
      <c r="F38" s="603" t="str">
        <f t="shared" si="3"/>
        <v>m3/dia</v>
      </c>
    </row>
    <row r="39" spans="1:6">
      <c r="A39" s="587">
        <v>30</v>
      </c>
      <c r="B39" s="105" t="str">
        <f t="shared" si="0"/>
        <v>5.2.8</v>
      </c>
      <c r="C39" s="488" t="str">
        <f t="shared" si="1"/>
        <v>Hormigón de limpieza</v>
      </c>
      <c r="D39" s="105" t="str">
        <f t="shared" si="2"/>
        <v>m3</v>
      </c>
      <c r="E39" s="601"/>
      <c r="F39" s="603" t="str">
        <f t="shared" si="3"/>
        <v>m3/dia</v>
      </c>
    </row>
    <row r="40" spans="1:6">
      <c r="A40" s="587">
        <v>31</v>
      </c>
      <c r="B40" s="105" t="str">
        <f t="shared" si="0"/>
        <v>5.2.9</v>
      </c>
      <c r="C40" s="488" t="str">
        <f t="shared" si="1"/>
        <v>Hormigón armado H20</v>
      </c>
      <c r="D40" s="105" t="str">
        <f t="shared" si="2"/>
        <v>m3</v>
      </c>
      <c r="E40" s="601"/>
      <c r="F40" s="603" t="str">
        <f t="shared" si="3"/>
        <v>m3/dia</v>
      </c>
    </row>
    <row r="41" spans="1:6">
      <c r="A41" s="587">
        <v>32</v>
      </c>
      <c r="B41" s="105" t="str">
        <f t="shared" si="0"/>
        <v>5.2.10</v>
      </c>
      <c r="C41" s="488" t="str">
        <f t="shared" si="1"/>
        <v>Reemplazo de compuertas</v>
      </c>
      <c r="D41" s="105" t="str">
        <f t="shared" si="2"/>
        <v>unidad</v>
      </c>
      <c r="E41" s="601"/>
      <c r="F41" s="603" t="str">
        <f t="shared" si="3"/>
        <v>unidad/dia</v>
      </c>
    </row>
    <row r="42" spans="1:6">
      <c r="A42" s="587">
        <v>33</v>
      </c>
      <c r="B42" s="656" t="str">
        <f t="shared" si="0"/>
        <v>5.2.11</v>
      </c>
      <c r="C42" s="488" t="str">
        <f t="shared" si="1"/>
        <v>Readecuacion comparto de derivacion</v>
      </c>
      <c r="D42" s="105" t="str">
        <f t="shared" si="2"/>
        <v>gl.</v>
      </c>
      <c r="E42" s="601"/>
      <c r="F42" s="603" t="str">
        <f t="shared" si="3"/>
        <v>gl./dia</v>
      </c>
    </row>
    <row r="43" spans="1:6">
      <c r="A43" s="587">
        <v>34</v>
      </c>
      <c r="B43" s="656" t="str">
        <f t="shared" si="0"/>
        <v>6.1.1</v>
      </c>
      <c r="C43" s="488" t="str">
        <f t="shared" si="1"/>
        <v>Rehabilitación camino de servicio</v>
      </c>
      <c r="D43" s="105" t="str">
        <f t="shared" si="2"/>
        <v>m</v>
      </c>
      <c r="E43" s="601"/>
      <c r="F43" s="603" t="str">
        <f t="shared" si="3"/>
        <v>m/dia</v>
      </c>
    </row>
    <row r="44" spans="1:6">
      <c r="A44" s="587">
        <v>35</v>
      </c>
      <c r="B44" s="656" t="str">
        <f t="shared" si="0"/>
        <v>6.1.2</v>
      </c>
      <c r="C44" s="488" t="str">
        <f t="shared" si="1"/>
        <v>Limpieza y preparación del terreno</v>
      </c>
      <c r="D44" s="105" t="str">
        <f t="shared" si="2"/>
        <v>m</v>
      </c>
      <c r="E44" s="601"/>
      <c r="F44" s="603" t="str">
        <f t="shared" si="3"/>
        <v>m/dia</v>
      </c>
    </row>
    <row r="45" spans="1:6">
      <c r="A45" s="587">
        <v>36</v>
      </c>
      <c r="B45" s="656" t="str">
        <f t="shared" si="0"/>
        <v>6.1.3</v>
      </c>
      <c r="C45" s="488" t="str">
        <f t="shared" si="1"/>
        <v>Excavación</v>
      </c>
      <c r="D45" s="105" t="str">
        <f t="shared" si="2"/>
        <v>m3</v>
      </c>
      <c r="E45" s="601"/>
      <c r="F45" s="603" t="str">
        <f t="shared" si="3"/>
        <v>m3/dia</v>
      </c>
    </row>
    <row r="46" spans="1:6">
      <c r="A46" s="587">
        <v>37</v>
      </c>
      <c r="B46" s="656" t="str">
        <f t="shared" si="0"/>
        <v>6.1.4</v>
      </c>
      <c r="C46" s="488" t="str">
        <f t="shared" si="1"/>
        <v>Relleno y compactación</v>
      </c>
      <c r="D46" s="105" t="str">
        <f t="shared" si="2"/>
        <v>m3</v>
      </c>
      <c r="E46" s="601"/>
      <c r="F46" s="603" t="str">
        <f t="shared" si="3"/>
        <v>m3/dia</v>
      </c>
    </row>
    <row r="47" spans="1:6">
      <c r="A47" s="587">
        <v>38</v>
      </c>
      <c r="B47" s="656" t="str">
        <f t="shared" si="0"/>
        <v>6.1.5</v>
      </c>
      <c r="C47" s="488" t="str">
        <f t="shared" si="1"/>
        <v>Hormigon H20</v>
      </c>
      <c r="D47" s="105" t="str">
        <f t="shared" si="2"/>
        <v>m3</v>
      </c>
      <c r="E47" s="601"/>
      <c r="F47" s="603" t="str">
        <f t="shared" si="3"/>
        <v>m3/dia</v>
      </c>
    </row>
    <row r="48" spans="1:6">
      <c r="A48" s="587">
        <v>39</v>
      </c>
      <c r="B48" s="656" t="str">
        <f t="shared" si="0"/>
        <v>6.1.6</v>
      </c>
      <c r="C48" s="488" t="str">
        <f t="shared" ref="C48:C56" si="4">IFERROR(VLOOKUP(B48,T_Datos,2,FALSE),"")</f>
        <v>Malla de acero</v>
      </c>
      <c r="D48" s="656" t="str">
        <f t="shared" ref="D48:D56" si="5">IFERROR(VLOOKUP(B48,T_Datos,3,FALSE),"")</f>
        <v>kg</v>
      </c>
      <c r="E48" s="601"/>
      <c r="F48" s="603" t="str">
        <f t="shared" ref="F48:F56" si="6">D48&amp;"/dia"</f>
        <v>kg/dia</v>
      </c>
    </row>
    <row r="49" spans="1:6">
      <c r="A49" s="587">
        <v>40</v>
      </c>
      <c r="B49" s="656" t="str">
        <f t="shared" si="0"/>
        <v>6.2.1</v>
      </c>
      <c r="C49" s="488" t="str">
        <f t="shared" si="4"/>
        <v>Limpieza y preparación del terreno</v>
      </c>
      <c r="D49" s="656" t="str">
        <f t="shared" si="5"/>
        <v>m</v>
      </c>
      <c r="E49" s="601"/>
      <c r="F49" s="603" t="str">
        <f t="shared" si="6"/>
        <v>m/dia</v>
      </c>
    </row>
    <row r="50" spans="1:6">
      <c r="A50" s="587">
        <v>41</v>
      </c>
      <c r="B50" s="656" t="str">
        <f t="shared" si="0"/>
        <v>6.2.2</v>
      </c>
      <c r="C50" s="488" t="str">
        <f t="shared" si="4"/>
        <v>Excavación</v>
      </c>
      <c r="D50" s="656" t="str">
        <f t="shared" si="5"/>
        <v>m3</v>
      </c>
      <c r="E50" s="601"/>
      <c r="F50" s="603" t="str">
        <f t="shared" si="6"/>
        <v>m3/dia</v>
      </c>
    </row>
    <row r="51" spans="1:6">
      <c r="A51" s="587">
        <v>42</v>
      </c>
      <c r="B51" s="656" t="str">
        <f t="shared" si="0"/>
        <v>6.2.3</v>
      </c>
      <c r="C51" s="488" t="str">
        <f t="shared" si="4"/>
        <v>Demoliciones</v>
      </c>
      <c r="D51" s="656" t="str">
        <f t="shared" si="5"/>
        <v>m3</v>
      </c>
      <c r="E51" s="601"/>
      <c r="F51" s="603" t="str">
        <f t="shared" si="6"/>
        <v>m3/dia</v>
      </c>
    </row>
    <row r="52" spans="1:6">
      <c r="A52" s="587">
        <v>43</v>
      </c>
      <c r="B52" s="656" t="str">
        <f t="shared" si="0"/>
        <v>6.2.4</v>
      </c>
      <c r="C52" s="488" t="str">
        <f t="shared" si="4"/>
        <v>Hormigon de limpleza</v>
      </c>
      <c r="D52" s="656" t="str">
        <f t="shared" si="5"/>
        <v>m3</v>
      </c>
      <c r="E52" s="601"/>
      <c r="F52" s="603" t="str">
        <f t="shared" si="6"/>
        <v>m3/dia</v>
      </c>
    </row>
    <row r="53" spans="1:6">
      <c r="A53" s="587">
        <v>44</v>
      </c>
      <c r="B53" s="656" t="str">
        <f t="shared" si="0"/>
        <v>6.2.5</v>
      </c>
      <c r="C53" s="488" t="str">
        <f t="shared" si="4"/>
        <v>Hormigon H20</v>
      </c>
      <c r="D53" s="656" t="str">
        <f t="shared" si="5"/>
        <v>m3</v>
      </c>
      <c r="E53" s="601"/>
      <c r="F53" s="603" t="str">
        <f t="shared" si="6"/>
        <v>m3/dia</v>
      </c>
    </row>
    <row r="54" spans="1:6">
      <c r="A54" s="587">
        <v>45</v>
      </c>
      <c r="B54" s="656" t="str">
        <f t="shared" si="0"/>
        <v>6.2.6</v>
      </c>
      <c r="C54" s="488" t="str">
        <f t="shared" si="4"/>
        <v>Malla de acero</v>
      </c>
      <c r="D54" s="656" t="str">
        <f t="shared" si="5"/>
        <v>kg</v>
      </c>
      <c r="E54" s="601"/>
      <c r="F54" s="603" t="str">
        <f t="shared" si="6"/>
        <v>kg/dia</v>
      </c>
    </row>
    <row r="55" spans="1:6">
      <c r="A55" s="587">
        <v>46</v>
      </c>
      <c r="B55" s="656" t="str">
        <f t="shared" si="0"/>
        <v>6.2.7</v>
      </c>
      <c r="C55" s="488" t="str">
        <f t="shared" si="4"/>
        <v>Remocion recubrimiento dañado y limpieza en pila, fondo losa y estribos</v>
      </c>
      <c r="D55" s="656" t="str">
        <f t="shared" si="5"/>
        <v>m2</v>
      </c>
      <c r="E55" s="601"/>
      <c r="F55" s="603" t="str">
        <f t="shared" si="6"/>
        <v>m2/dia</v>
      </c>
    </row>
    <row r="56" spans="1:6">
      <c r="A56" s="587">
        <v>47</v>
      </c>
      <c r="B56" s="656" t="str">
        <f t="shared" si="0"/>
        <v>6.2.8</v>
      </c>
      <c r="C56" s="488" t="str">
        <f t="shared" si="4"/>
        <v>Arenado de armaduras existentes</v>
      </c>
      <c r="D56" s="656" t="str">
        <f t="shared" si="5"/>
        <v>m2</v>
      </c>
      <c r="E56" s="601"/>
      <c r="F56" s="603" t="str">
        <f t="shared" si="6"/>
        <v>m2/dia</v>
      </c>
    </row>
    <row r="57" spans="1:6">
      <c r="A57" s="587">
        <v>48</v>
      </c>
      <c r="B57" s="656" t="str">
        <f t="shared" ref="B57:B59" si="7">IFERROR(VLOOKUP(A57,T_NumeroItem,2,FALSE),"")</f>
        <v>6.2.9</v>
      </c>
      <c r="C57" s="488" t="str">
        <f t="shared" ref="C57:C59" si="8">IFERROR(VLOOKUP(B57,T_Datos,2,FALSE),"")</f>
        <v>provision e instalacion de pernos de anclaje en estribos</v>
      </c>
      <c r="D57" s="656" t="str">
        <f t="shared" ref="D57:D59" si="9">IFERROR(VLOOKUP(B57,T_Datos,3,FALSE),"")</f>
        <v>unidad</v>
      </c>
      <c r="E57" s="601"/>
      <c r="F57" s="603" t="str">
        <f t="shared" ref="F57:F59" si="10">D57&amp;"/dia"</f>
        <v>unidad/dia</v>
      </c>
    </row>
    <row r="58" spans="1:6">
      <c r="A58" s="587">
        <v>49</v>
      </c>
      <c r="B58" s="656" t="str">
        <f t="shared" si="7"/>
        <v>6.2.10</v>
      </c>
      <c r="C58" s="488" t="str">
        <f t="shared" si="8"/>
        <v>Proteccion convertidor de óxido</v>
      </c>
      <c r="D58" s="656" t="str">
        <f t="shared" si="9"/>
        <v>litros</v>
      </c>
      <c r="E58" s="601"/>
      <c r="F58" s="603" t="str">
        <f t="shared" si="10"/>
        <v>litros/dia</v>
      </c>
    </row>
    <row r="59" spans="1:6">
      <c r="A59" s="587">
        <v>50</v>
      </c>
      <c r="B59" s="656" t="str">
        <f t="shared" si="7"/>
        <v>6.2.11</v>
      </c>
      <c r="C59" s="488" t="str">
        <f t="shared" si="8"/>
        <v>Puente de adherencia entre hormigones</v>
      </c>
      <c r="D59" s="656" t="str">
        <f t="shared" si="9"/>
        <v>kg</v>
      </c>
      <c r="E59" s="601"/>
      <c r="F59" s="603" t="str">
        <f t="shared" si="10"/>
        <v>kg/dia</v>
      </c>
    </row>
    <row r="60" spans="1:6">
      <c r="A60" s="587">
        <v>51</v>
      </c>
      <c r="B60" s="656" t="str">
        <f t="shared" ref="B60:B63" si="11">IFERROR(VLOOKUP(A60,T_NumeroItem,2,FALSE),"")</f>
        <v>6.2.12</v>
      </c>
      <c r="C60" s="488" t="str">
        <f t="shared" ref="C60:C63" si="12">IFERROR(VLOOKUP(B60,T_Datos,2,FALSE),"")</f>
        <v>Juntas de dilatacion</v>
      </c>
      <c r="D60" s="656" t="str">
        <f t="shared" ref="D60:D63" si="13">IFERROR(VLOOKUP(B60,T_Datos,3,FALSE),"")</f>
        <v>m</v>
      </c>
      <c r="E60" s="601"/>
      <c r="F60" s="603" t="str">
        <f t="shared" ref="F60:F63" si="14">D60&amp;"/dia"</f>
        <v>m/dia</v>
      </c>
    </row>
    <row r="61" spans="1:6">
      <c r="A61" s="587">
        <v>52</v>
      </c>
      <c r="B61" s="656" t="str">
        <f t="shared" si="11"/>
        <v>6.2.13</v>
      </c>
      <c r="C61" s="488" t="str">
        <f t="shared" si="12"/>
        <v>Hormigón ciclopeo</v>
      </c>
      <c r="D61" s="656" t="str">
        <f t="shared" si="13"/>
        <v>m3</v>
      </c>
      <c r="E61" s="601"/>
      <c r="F61" s="603" t="str">
        <f t="shared" si="14"/>
        <v>m3/dia</v>
      </c>
    </row>
    <row r="62" spans="1:6">
      <c r="A62" s="587">
        <v>53</v>
      </c>
      <c r="B62" s="656" t="str">
        <f t="shared" si="11"/>
        <v>6.2.14</v>
      </c>
      <c r="C62" s="488" t="str">
        <f t="shared" si="12"/>
        <v>Aplicación puente de adherencia y reconstruccion de recubrimiento</v>
      </c>
      <c r="D62" s="656" t="str">
        <f t="shared" si="13"/>
        <v>m2</v>
      </c>
      <c r="E62" s="601"/>
      <c r="F62" s="603" t="str">
        <f t="shared" si="14"/>
        <v>m2/dia</v>
      </c>
    </row>
    <row r="63" spans="1:6">
      <c r="A63" s="587">
        <v>54</v>
      </c>
      <c r="B63" s="656" t="str">
        <f t="shared" si="11"/>
        <v>6.2.15</v>
      </c>
      <c r="C63" s="488" t="str">
        <f t="shared" si="12"/>
        <v>Juntas constructivas</v>
      </c>
      <c r="D63" s="656" t="str">
        <f t="shared" si="13"/>
        <v>m3</v>
      </c>
      <c r="E63" s="601"/>
      <c r="F63" s="603" t="str">
        <f t="shared" si="14"/>
        <v>m3/dia</v>
      </c>
    </row>
  </sheetData>
  <mergeCells count="2">
    <mergeCell ref="E8:F8"/>
    <mergeCell ref="B6:F6"/>
  </mergeCells>
  <conditionalFormatting sqref="C10:C63">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Insumos</vt:lpstr>
      <vt:lpstr>Equipos</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 Retana</dc:creator>
  <cp:lastModifiedBy>Full name</cp:lastModifiedBy>
  <cp:lastPrinted>2018-11-10T14:53:10Z</cp:lastPrinted>
  <dcterms:created xsi:type="dcterms:W3CDTF">2016-09-02T20:54:46Z</dcterms:created>
  <dcterms:modified xsi:type="dcterms:W3CDTF">2020-08-11T11:14:53Z</dcterms:modified>
</cp:coreProperties>
</file>