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228" codeName="{144559BF-596A-2B24-0A50-F0D1D4C42CD1}"/>
  <workbookPr codeName="ThisWorkbook" defaultThemeVersion="124226"/>
  <mc:AlternateContent xmlns:mc="http://schemas.openxmlformats.org/markup-compatibility/2006">
    <mc:Choice Requires="x15">
      <x15ac:absPath xmlns:x15ac="http://schemas.microsoft.com/office/spreadsheetml/2010/11/ac" url="C:\Users\DBalderramo\Desktop\LICITACIONES 2020\LICITACION 01-2020 Ullúm Sector B\PUBLICACION\PUBLICACION WEB\"/>
    </mc:Choice>
  </mc:AlternateContent>
  <xr:revisionPtr revIDLastSave="0" documentId="13_ncr:1_{9C81DC2B-0A1E-45C4-A147-F8AD90D7DBB0}" xr6:coauthVersionLast="45" xr6:coauthVersionMax="45" xr10:uidLastSave="{00000000-0000-0000-0000-000000000000}"/>
  <bookViews>
    <workbookView xWindow="-120" yWindow="-120" windowWidth="29040" windowHeight="15840" activeTab="10" xr2:uid="{00000000-000D-0000-FFFF-FFFF00000000}"/>
  </bookViews>
  <sheets>
    <sheet name="Datos" sheetId="15" r:id="rId1"/>
    <sheet name="RGP" sheetId="28" r:id="rId2"/>
    <sheet name="Proto  M 17" sheetId="18" r:id="rId3"/>
    <sheet name="Proto M1 17" sheetId="19" r:id="rId4"/>
    <sheet name="P-G" sheetId="27" state="hidden" r:id="rId5"/>
    <sheet name="P-F (1 PISO)" sheetId="29" state="hidden" r:id="rId6"/>
    <sheet name="P-H (1 PISO)" sheetId="30" state="hidden" r:id="rId7"/>
    <sheet name="P-G (1 PISO)" sheetId="31" state="hidden" r:id="rId8"/>
    <sheet name="P-G (2 PISO)" sheetId="33" state="hidden" r:id="rId9"/>
    <sheet name="Espacios Comunes" sheetId="34" state="hidden" r:id="rId10"/>
    <sheet name="INFRA" sheetId="22" r:id="rId11"/>
    <sheet name="CyP" sheetId="2" r:id="rId12"/>
    <sheet name="PTyCI" sheetId="9" r:id="rId13"/>
    <sheet name="AP" sheetId="25" r:id="rId14"/>
    <sheet name="Grafico Avance Obra" sheetId="4" r:id="rId15"/>
    <sheet name="Gráfico Curva Inversiones" sheetId="5" r:id="rId16"/>
    <sheet name="Insumos" sheetId="26" r:id="rId17"/>
    <sheet name="Indices" sheetId="11" r:id="rId18"/>
    <sheet name="Códigos Items" sheetId="12" state="hidden" r:id="rId19"/>
    <sheet name="Gastos Generales" sheetId="8" r:id="rId20"/>
  </sheets>
  <functionGroups builtInGroupCount="19"/>
  <externalReferences>
    <externalReference r:id="rId21"/>
  </externalReferences>
  <definedNames>
    <definedName name="__123Graph_AGRAUDAP" localSheetId="13" hidden="1">[1]P.TRABAJO!#REF!</definedName>
    <definedName name="__123Graph_AGRAUDAP" localSheetId="18" hidden="1">[1]P.TRABAJO!#REF!</definedName>
    <definedName name="__123Graph_AGRAUDAP" localSheetId="0" hidden="1">[1]P.TRABAJO!#REF!</definedName>
    <definedName name="__123Graph_AGRAUDAP" localSheetId="17" hidden="1">[1]P.TRABAJO!#REF!</definedName>
    <definedName name="__123Graph_AGRAUDAP" localSheetId="10" hidden="1">[1]P.TRABAJO!#REF!</definedName>
    <definedName name="__123Graph_AGRAUDAP" localSheetId="16" hidden="1">[1]P.TRABAJO!#REF!</definedName>
    <definedName name="__123Graph_AGRAUDAP" localSheetId="4" hidden="1">[1]P.TRABAJO!#REF!</definedName>
    <definedName name="__123Graph_AGRAUDAP" localSheetId="2" hidden="1">[1]P.TRABAJO!#REF!</definedName>
    <definedName name="__123Graph_AGRAUDAP" localSheetId="3" hidden="1">[1]P.TRABAJO!#REF!</definedName>
    <definedName name="__123Graph_AGRAUDAP" hidden="1">[1]P.TRABAJO!#REF!</definedName>
    <definedName name="__123Graph_LBL_AGRAUDAP" localSheetId="18" hidden="1">[1]P.TRABAJO!#REF!</definedName>
    <definedName name="__123Graph_LBL_AGRAUDAP" localSheetId="0" hidden="1">[1]P.TRABAJO!#REF!</definedName>
    <definedName name="__123Graph_LBL_AGRAUDAP" localSheetId="17" hidden="1">[1]P.TRABAJO!#REF!</definedName>
    <definedName name="__123Graph_LBL_AGRAUDAP" localSheetId="10" hidden="1">[1]P.TRABAJO!#REF!</definedName>
    <definedName name="__123Graph_LBL_AGRAUDAP" localSheetId="16" hidden="1">[1]P.TRABAJO!#REF!</definedName>
    <definedName name="__123Graph_LBL_AGRAUDAP" localSheetId="4" hidden="1">[1]P.TRABAJO!#REF!</definedName>
    <definedName name="__123Graph_LBL_AGRAUDAP" localSheetId="2" hidden="1">[1]P.TRABAJO!#REF!</definedName>
    <definedName name="__123Graph_LBL_AGRAUDAP" localSheetId="3" hidden="1">[1]P.TRABAJO!#REF!</definedName>
    <definedName name="__123Graph_LBL_AGRAUDAP" hidden="1">[1]P.TRABAJO!#REF!</definedName>
    <definedName name="__123Graph_XGRAUDAP" localSheetId="18" hidden="1">[1]P.TRABAJO!#REF!</definedName>
    <definedName name="__123Graph_XGRAUDAP" localSheetId="0" hidden="1">[1]P.TRABAJO!#REF!</definedName>
    <definedName name="__123Graph_XGRAUDAP" localSheetId="17" hidden="1">[1]P.TRABAJO!#REF!</definedName>
    <definedName name="__123Graph_XGRAUDAP" localSheetId="10" hidden="1">[1]P.TRABAJO!#REF!</definedName>
    <definedName name="__123Graph_XGRAUDAP" localSheetId="16" hidden="1">[1]P.TRABAJO!#REF!</definedName>
    <definedName name="__123Graph_XGRAUDAP" localSheetId="4" hidden="1">[1]P.TRABAJO!#REF!</definedName>
    <definedName name="__123Graph_XGRAUDAP" localSheetId="2" hidden="1">[1]P.TRABAJO!#REF!</definedName>
    <definedName name="__123Graph_XGRAUDAP" localSheetId="3" hidden="1">[1]P.TRABAJO!#REF!</definedName>
    <definedName name="__123Graph_XGRAUDAP" hidden="1">[1]P.TRABAJO!#REF!</definedName>
    <definedName name="_xlnm._FilterDatabase" localSheetId="11" hidden="1">CyP!$A$1:$A$136</definedName>
    <definedName name="_xlnm._FilterDatabase" localSheetId="0" hidden="1">Datos!#REF!</definedName>
    <definedName name="_xlnm._FilterDatabase" localSheetId="17" hidden="1">Indices!$B$1:$D$969</definedName>
    <definedName name="_xlnm._FilterDatabase" localSheetId="10" hidden="1">INFRA!$A$2:$A$40</definedName>
    <definedName name="_xlnm._FilterDatabase" localSheetId="16" hidden="1">Insumos!#REF!</definedName>
    <definedName name="_xlnm._FilterDatabase" localSheetId="4" hidden="1">'P-G'!$A$2:$A$60</definedName>
    <definedName name="_xlnm._FilterDatabase" localSheetId="2" hidden="1">'Proto  M 17'!$A$2:$A$65</definedName>
    <definedName name="_xlnm._FilterDatabase" localSheetId="3" hidden="1">'Proto M1 17'!$A$2:$A$56</definedName>
    <definedName name="_xlnm._FilterDatabase" localSheetId="12" hidden="1">PTyCI!$D$1:$D$98</definedName>
    <definedName name="Anticipo_Financiero">Datos!$C$7</definedName>
    <definedName name="_xlnm.Print_Area" localSheetId="13">AP!$A$1:$G$49</definedName>
    <definedName name="_xlnm.Print_Area" localSheetId="11">CyP!$A$1:$J$137</definedName>
    <definedName name="_xlnm.Print_Area" localSheetId="16">Insumos!#REF!</definedName>
    <definedName name="_xlnm.Print_Area" localSheetId="12">PTyCI!$A$1:$R$97</definedName>
    <definedName name="_xlnm.Print_Area" localSheetId="1">RGP!$A$1:$K$77</definedName>
    <definedName name="Beneficio">Datos!$C$15</definedName>
    <definedName name="Cant_Viv_P1">'Proto  M 17'!$B$5</definedName>
    <definedName name="Cant_Viv_P2">'Proto M1 17'!$B$5</definedName>
    <definedName name="Cant_Viv_P3">'P-G'!$B$5</definedName>
    <definedName name="Cant_Viv_P4">'P-F (1 PISO)'!$B$5</definedName>
    <definedName name="Cant_Viv_P5">'P-H (1 PISO)'!$B$5</definedName>
    <definedName name="Cant_Viv_P6">'P-G (1 PISO)'!$B$5</definedName>
    <definedName name="Cant_Viv_P7">'P-G (2 PISO)'!$B$5</definedName>
    <definedName name="Coef_Paso_Infraestructura">Datos!$C$20</definedName>
    <definedName name="Coef_Paso_Vivienda">Datos!$C$19</definedName>
    <definedName name="Comitente">Datos!$C$1</definedName>
    <definedName name="Contratista">Datos!$C$12</definedName>
    <definedName name="Costo_Financiero">Datos!$C$13</definedName>
    <definedName name="EspacioComun">'Espacios Comunes'!$B$5</definedName>
    <definedName name="Fecha_Apertura">Datos!$C$8</definedName>
    <definedName name="Fecha_Base">Datos!$C$8</definedName>
    <definedName name="Gastos_Generales">Datos!$C$14</definedName>
    <definedName name="Ingresos_Brutos">Datos!$C$16</definedName>
    <definedName name="IVA_Infraestructura">Datos!$C$18</definedName>
    <definedName name="IVA_Vivienda">Datos!$C$17</definedName>
    <definedName name="Monto_Oferta">CyP!$H$134</definedName>
    <definedName name="Monto_Terreno">Datos!$C$21</definedName>
    <definedName name="Número_Expediente">Datos!$C$5</definedName>
    <definedName name="Número_Licitación">Datos!$C$4</definedName>
    <definedName name="Obra">Datos!$C$2</definedName>
    <definedName name="Plazo_Obra">Datos!$C$9</definedName>
    <definedName name="Precio_Infra">INFRA!$F$51</definedName>
    <definedName name="Precio_P1">'Proto  M 17'!$F$65</definedName>
    <definedName name="Precio_P2">'Proto M1 17'!$F$65</definedName>
    <definedName name="Precio_P3">'P-G'!$F$69</definedName>
    <definedName name="PRECIO_P4">'P-F (1 PISO)'!$F$58</definedName>
    <definedName name="PRECIO_P5">'P-H (1 PISO)'!$F$59</definedName>
    <definedName name="PRECIO_P6">'P-G (1 PISO)'!$F$59</definedName>
    <definedName name="PRECIO_P7">'P-G (2 PISO)'!$F$59</definedName>
    <definedName name="Presupuesto_Oficial">Datos!$C$6</definedName>
    <definedName name="Tabla_AP">AP!$A:$G</definedName>
    <definedName name="Tabla_Código_Items">'Códigos Items'!$A:$D</definedName>
    <definedName name="Tabla_Comp_Presup">CyP!$A:$I</definedName>
    <definedName name="Tabla_CyP">CyP!$A:$I</definedName>
    <definedName name="Tabla_Datos">Datos!$B:$D</definedName>
    <definedName name="Tabla_EC">'Espacios Comunes'!$A$1:$F$108</definedName>
    <definedName name="Tabla_Indices">Indices!$A:$E</definedName>
    <definedName name="Tabla_Infraestructura">INFRA!$A:$D</definedName>
    <definedName name="Tabla_Insumos">Insumos!$A:$E</definedName>
    <definedName name="Tabla_NumeroItem">Datos!$A$35:$D$221</definedName>
    <definedName name="Tabla_P1">'Proto  M 17'!$A:$D</definedName>
    <definedName name="Tabla_P2">'Proto M1 17'!$A:$D</definedName>
    <definedName name="Tabla_P3">'P-G'!$A$1:$F$201</definedName>
    <definedName name="Tabla_P4">'P-F (1 PISO)'!$A$1:$F$356</definedName>
    <definedName name="Tabla_P5">'P-H (1 PISO)'!$A$1:$F$114</definedName>
    <definedName name="Tabla_P6">'P-G (1 PISO)'!$A$1:$F$372</definedName>
    <definedName name="Tabla_P7">'P-G (2 PISO)'!$A$1:$F$308</definedName>
    <definedName name="Tipo_P1">'Proto  M 17'!$B$4</definedName>
    <definedName name="Tipo_P2">'Proto M1 17'!$B$4</definedName>
    <definedName name="Tipo_P3">'P-G'!$B$4</definedName>
    <definedName name="Tipo_P4">'P-F (1 PISO)'!$B$4</definedName>
    <definedName name="Tipo_P5">'P-H (1 PISO)'!$B$4</definedName>
    <definedName name="Tipo_P6">'P-G (1 PISO)'!$B$4</definedName>
    <definedName name="Tipo_P7">'P-G (2 PISO)'!$B$4</definedName>
    <definedName name="_xlnm.Print_Titles" localSheetId="17">Indices!$2:$5</definedName>
    <definedName name="Ubicación">Datos!$C$3</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2" l="1"/>
  <c r="C12" i="2"/>
  <c r="C7" i="2" l="1"/>
  <c r="B39" i="22"/>
  <c r="F39" i="22"/>
  <c r="B132" i="2" l="1"/>
  <c r="C43" i="22"/>
  <c r="C9" i="2"/>
  <c r="R64" i="9"/>
  <c r="R48" i="9"/>
  <c r="B4" i="28"/>
  <c r="C20" i="15"/>
  <c r="A59" i="2" l="1"/>
  <c r="C66" i="15"/>
  <c r="D66" i="15"/>
  <c r="B59" i="2" l="1"/>
  <c r="D59" i="2"/>
  <c r="C44" i="15" l="1"/>
  <c r="C40" i="15"/>
  <c r="C38" i="15"/>
  <c r="D16" i="2" l="1"/>
  <c r="R45" i="9" l="1"/>
  <c r="R40" i="9"/>
  <c r="R41" i="9"/>
  <c r="A52" i="2" l="1"/>
  <c r="C59" i="15"/>
  <c r="D59" i="15"/>
  <c r="B52" i="2" l="1"/>
  <c r="D52" i="2"/>
  <c r="A56" i="2"/>
  <c r="B56" i="2" l="1"/>
  <c r="D56" i="2"/>
  <c r="C63" i="15"/>
  <c r="D63" i="15"/>
  <c r="R70" i="9" l="1"/>
  <c r="R71" i="9"/>
  <c r="R72" i="9"/>
  <c r="R73" i="9"/>
  <c r="R74" i="9"/>
  <c r="R75" i="9"/>
  <c r="R76" i="9"/>
  <c r="R77" i="9"/>
  <c r="R78" i="9"/>
  <c r="R79" i="9"/>
  <c r="R80" i="9"/>
  <c r="R81" i="9"/>
  <c r="R82" i="9"/>
  <c r="R83" i="9"/>
  <c r="R84" i="9"/>
  <c r="R85" i="9"/>
  <c r="R86" i="9"/>
  <c r="R87" i="9"/>
  <c r="R88" i="9"/>
  <c r="R89" i="9"/>
  <c r="R90" i="9"/>
  <c r="R91" i="9"/>
  <c r="R53" i="9"/>
  <c r="R54" i="9"/>
  <c r="R55" i="9"/>
  <c r="R56" i="9"/>
  <c r="R57" i="9"/>
  <c r="R58" i="9"/>
  <c r="R59" i="9"/>
  <c r="R60" i="9"/>
  <c r="R61" i="9"/>
  <c r="R62" i="9"/>
  <c r="R63" i="9"/>
  <c r="R65" i="9"/>
  <c r="R66" i="9"/>
  <c r="R67" i="9"/>
  <c r="R68" i="9"/>
  <c r="R69" i="9"/>
  <c r="R39" i="9"/>
  <c r="R42" i="9"/>
  <c r="R43" i="9"/>
  <c r="R44" i="9"/>
  <c r="R46" i="9"/>
  <c r="R47" i="9"/>
  <c r="R49" i="9"/>
  <c r="R50" i="9"/>
  <c r="R51" i="9"/>
  <c r="R52" i="9"/>
  <c r="A72" i="2" l="1"/>
  <c r="A73" i="2" l="1"/>
  <c r="C79" i="15" l="1"/>
  <c r="B72" i="2" s="1"/>
  <c r="D79" i="15"/>
  <c r="D72" i="2" s="1"/>
  <c r="C57" i="15"/>
  <c r="D57" i="15"/>
  <c r="C58" i="15"/>
  <c r="D58" i="15"/>
  <c r="C60" i="15"/>
  <c r="D60" i="15"/>
  <c r="C61" i="15"/>
  <c r="D61" i="15"/>
  <c r="C62" i="15"/>
  <c r="D62" i="15"/>
  <c r="C64" i="15"/>
  <c r="D64" i="15"/>
  <c r="C65" i="15"/>
  <c r="D65" i="15"/>
  <c r="C67" i="15"/>
  <c r="D67" i="15"/>
  <c r="C68" i="15"/>
  <c r="D68" i="15"/>
  <c r="C69" i="15"/>
  <c r="D69" i="15"/>
  <c r="C70" i="15"/>
  <c r="D70" i="15"/>
  <c r="C71" i="15"/>
  <c r="D71" i="15"/>
  <c r="C37" i="15"/>
  <c r="D37" i="15"/>
  <c r="D38" i="15"/>
  <c r="C39" i="15"/>
  <c r="D39" i="15"/>
  <c r="D40" i="15"/>
  <c r="C41" i="15"/>
  <c r="D41" i="15"/>
  <c r="C42" i="15"/>
  <c r="D42" i="15"/>
  <c r="C43" i="15"/>
  <c r="D43" i="15"/>
  <c r="D44" i="15"/>
  <c r="C45" i="15"/>
  <c r="D45" i="15"/>
  <c r="C46" i="15"/>
  <c r="B21" i="18" s="1"/>
  <c r="D46" i="15"/>
  <c r="C47" i="15"/>
  <c r="D47" i="15"/>
  <c r="C48" i="15"/>
  <c r="D48" i="15"/>
  <c r="C49" i="15"/>
  <c r="D49" i="15"/>
  <c r="C50" i="15"/>
  <c r="B25" i="19" s="1"/>
  <c r="D50" i="15"/>
  <c r="C51" i="15"/>
  <c r="D51" i="15"/>
  <c r="C52" i="15"/>
  <c r="D52" i="15"/>
  <c r="C53" i="15"/>
  <c r="D53" i="15"/>
  <c r="C54" i="15"/>
  <c r="D54" i="15"/>
  <c r="C55" i="15"/>
  <c r="D55" i="15"/>
  <c r="C56" i="15"/>
  <c r="D56" i="15"/>
  <c r="C108" i="15"/>
  <c r="D108" i="15"/>
  <c r="D109" i="15"/>
  <c r="C109" i="15"/>
  <c r="B32" i="19" l="1"/>
  <c r="B33" i="18"/>
  <c r="C32" i="19"/>
  <c r="C33" i="18"/>
  <c r="C91" i="15"/>
  <c r="D91" i="15"/>
  <c r="C92" i="15"/>
  <c r="D92" i="15"/>
  <c r="C93" i="15"/>
  <c r="D93" i="15"/>
  <c r="C87" i="15"/>
  <c r="D87" i="15"/>
  <c r="C82" i="15"/>
  <c r="D82" i="15"/>
  <c r="C83" i="15"/>
  <c r="D83" i="15"/>
  <c r="C74" i="15"/>
  <c r="C8" i="2"/>
  <c r="R18" i="9" l="1"/>
  <c r="R19" i="9"/>
  <c r="R20" i="9"/>
  <c r="R21" i="9"/>
  <c r="R22" i="9"/>
  <c r="R23" i="9"/>
  <c r="R24" i="9"/>
  <c r="R25" i="9"/>
  <c r="R26" i="9"/>
  <c r="R27" i="9"/>
  <c r="R28" i="9"/>
  <c r="R29" i="9"/>
  <c r="R30" i="9"/>
  <c r="R31" i="9"/>
  <c r="R32" i="9"/>
  <c r="R33" i="9"/>
  <c r="R34" i="9"/>
  <c r="R35" i="9"/>
  <c r="R36" i="9"/>
  <c r="R37" i="9"/>
  <c r="R38" i="9"/>
  <c r="B51" i="22" l="1"/>
  <c r="B65" i="19"/>
  <c r="R17" i="9" l="1"/>
  <c r="E124" i="2"/>
  <c r="C19" i="15"/>
  <c r="C73" i="34" l="1"/>
  <c r="B73" i="34"/>
  <c r="B77" i="34" l="1"/>
  <c r="C77" i="34"/>
  <c r="B78" i="34"/>
  <c r="C78" i="34"/>
  <c r="B97" i="34" l="1"/>
  <c r="C97" i="34"/>
  <c r="E97" i="34"/>
  <c r="B99" i="34"/>
  <c r="C99" i="34"/>
  <c r="B100" i="34"/>
  <c r="C100" i="34"/>
  <c r="B102" i="34"/>
  <c r="C102" i="34"/>
  <c r="B103" i="34"/>
  <c r="C103" i="34"/>
  <c r="B105" i="34"/>
  <c r="C22" i="34" l="1"/>
  <c r="B20" i="34"/>
  <c r="B21" i="34"/>
  <c r="C20" i="34"/>
  <c r="C21" i="34"/>
  <c r="B22" i="34"/>
  <c r="B70" i="34" l="1"/>
  <c r="B71" i="34"/>
  <c r="B69" i="34"/>
  <c r="C71" i="34"/>
  <c r="C70" i="34"/>
  <c r="C69" i="34"/>
  <c r="C52" i="34" l="1"/>
  <c r="B50" i="34"/>
  <c r="C50" i="34"/>
  <c r="B52" i="34"/>
  <c r="B51" i="34"/>
  <c r="C51" i="34"/>
  <c r="C25" i="29" l="1"/>
  <c r="B25" i="29"/>
  <c r="B68" i="34" l="1"/>
  <c r="C68" i="34"/>
  <c r="B61" i="34" l="1"/>
  <c r="B59" i="34"/>
  <c r="B60" i="34"/>
  <c r="C61" i="34"/>
  <c r="C60" i="34"/>
  <c r="C59" i="34"/>
  <c r="C62" i="34" l="1"/>
  <c r="C48" i="34"/>
  <c r="C44" i="34"/>
  <c r="B66" i="34"/>
  <c r="B62" i="34"/>
  <c r="B55" i="34"/>
  <c r="B48" i="34"/>
  <c r="B44" i="34"/>
  <c r="B67" i="34"/>
  <c r="B63" i="34"/>
  <c r="B56" i="34"/>
  <c r="B49" i="34"/>
  <c r="B45" i="34"/>
  <c r="C67" i="34"/>
  <c r="C63" i="34"/>
  <c r="C49" i="34"/>
  <c r="C45" i="34"/>
  <c r="B65" i="34"/>
  <c r="B58" i="34"/>
  <c r="B54" i="34"/>
  <c r="B47" i="34"/>
  <c r="C65" i="34"/>
  <c r="C54" i="34"/>
  <c r="C47" i="34"/>
  <c r="C66" i="34"/>
  <c r="C55" i="34"/>
  <c r="B64" i="34"/>
  <c r="B57" i="34"/>
  <c r="B53" i="34"/>
  <c r="B46" i="34"/>
  <c r="C64" i="34"/>
  <c r="C53" i="34"/>
  <c r="C46" i="34"/>
  <c r="C58" i="34"/>
  <c r="C57" i="34"/>
  <c r="C56" i="34"/>
  <c r="A32" i="2" l="1"/>
  <c r="A33" i="2"/>
  <c r="A34" i="2"/>
  <c r="A35" i="2"/>
  <c r="A36" i="2"/>
  <c r="A37" i="2"/>
  <c r="A38" i="2"/>
  <c r="A39" i="2"/>
  <c r="A40" i="2"/>
  <c r="A41" i="2"/>
  <c r="A42" i="2"/>
  <c r="A43" i="2"/>
  <c r="A44" i="2"/>
  <c r="A45" i="2"/>
  <c r="A46" i="2"/>
  <c r="A47" i="2"/>
  <c r="A48" i="2"/>
  <c r="A49" i="2"/>
  <c r="A50" i="2"/>
  <c r="A51" i="2"/>
  <c r="A53" i="2"/>
  <c r="A54" i="2"/>
  <c r="A55" i="2"/>
  <c r="A57" i="2"/>
  <c r="A58" i="2"/>
  <c r="A60" i="2"/>
  <c r="A61" i="2"/>
  <c r="A62" i="2"/>
  <c r="A63" i="2"/>
  <c r="A64" i="2"/>
  <c r="A65" i="2"/>
  <c r="A66" i="2"/>
  <c r="A67" i="2"/>
  <c r="A68" i="2"/>
  <c r="A69" i="2"/>
  <c r="A70" i="2"/>
  <c r="A71" i="2"/>
  <c r="B21" i="29"/>
  <c r="C21" i="29"/>
  <c r="C89" i="15" l="1"/>
  <c r="D89" i="15"/>
  <c r="B74" i="34" l="1"/>
  <c r="B85" i="34"/>
  <c r="C85" i="34"/>
  <c r="B92" i="34"/>
  <c r="C92" i="34"/>
  <c r="C81" i="15"/>
  <c r="C84" i="15"/>
  <c r="D84" i="15"/>
  <c r="C85" i="15"/>
  <c r="B95" i="2" s="1"/>
  <c r="D85" i="15"/>
  <c r="C86" i="15"/>
  <c r="B11" i="22" s="1"/>
  <c r="D86" i="15"/>
  <c r="C11" i="22" s="1"/>
  <c r="C88" i="15"/>
  <c r="D88" i="15"/>
  <c r="C90" i="15"/>
  <c r="D90" i="15"/>
  <c r="C94" i="15"/>
  <c r="D94" i="15"/>
  <c r="C95" i="15"/>
  <c r="D95" i="15"/>
  <c r="C96" i="15"/>
  <c r="D96" i="15"/>
  <c r="C97" i="15"/>
  <c r="D97" i="15"/>
  <c r="C98" i="15"/>
  <c r="D98" i="15"/>
  <c r="C99" i="15"/>
  <c r="D99" i="15"/>
  <c r="C100" i="15"/>
  <c r="D100" i="15"/>
  <c r="C101" i="15"/>
  <c r="D101" i="15"/>
  <c r="C102" i="15"/>
  <c r="D102" i="15"/>
  <c r="C103" i="15"/>
  <c r="D103" i="15"/>
  <c r="C104" i="15"/>
  <c r="D104" i="15"/>
  <c r="C105" i="15"/>
  <c r="D105" i="15"/>
  <c r="C106" i="15"/>
  <c r="D106" i="15"/>
  <c r="C107" i="15"/>
  <c r="D107" i="15"/>
  <c r="C110" i="15"/>
  <c r="D110" i="15"/>
  <c r="C111" i="15"/>
  <c r="D111" i="15"/>
  <c r="C112" i="15"/>
  <c r="D112" i="15"/>
  <c r="C113" i="15"/>
  <c r="D113" i="15"/>
  <c r="C114" i="15"/>
  <c r="D114" i="15"/>
  <c r="C115" i="15"/>
  <c r="D115" i="15"/>
  <c r="C116" i="15"/>
  <c r="D116" i="15"/>
  <c r="C117" i="15"/>
  <c r="D117" i="15"/>
  <c r="C118" i="15"/>
  <c r="D118" i="15"/>
  <c r="C119" i="15"/>
  <c r="D119" i="15"/>
  <c r="C120" i="15"/>
  <c r="D120" i="15"/>
  <c r="C121" i="15"/>
  <c r="D121" i="15"/>
  <c r="C122" i="15"/>
  <c r="D122" i="15"/>
  <c r="C123" i="15"/>
  <c r="D123" i="15"/>
  <c r="C124" i="15"/>
  <c r="D124" i="15"/>
  <c r="C125" i="15"/>
  <c r="D125" i="15"/>
  <c r="C126" i="15"/>
  <c r="D126" i="15"/>
  <c r="C127" i="15"/>
  <c r="D127" i="15"/>
  <c r="C128" i="15"/>
  <c r="D128" i="15"/>
  <c r="C129" i="15"/>
  <c r="D129" i="15"/>
  <c r="C130" i="15"/>
  <c r="D130" i="15"/>
  <c r="C131" i="15"/>
  <c r="D131" i="15"/>
  <c r="C132" i="15"/>
  <c r="D132" i="15"/>
  <c r="C133" i="15"/>
  <c r="D133" i="15"/>
  <c r="C134" i="15"/>
  <c r="D134" i="15"/>
  <c r="C135" i="15"/>
  <c r="D135" i="15"/>
  <c r="C136" i="15"/>
  <c r="D136" i="15"/>
  <c r="C137" i="15"/>
  <c r="D137" i="15"/>
  <c r="C138" i="15"/>
  <c r="D138" i="15"/>
  <c r="C139" i="15"/>
  <c r="D139" i="15"/>
  <c r="C140" i="15"/>
  <c r="D140" i="15"/>
  <c r="C141" i="15"/>
  <c r="D141" i="15"/>
  <c r="C142" i="15"/>
  <c r="D142" i="15"/>
  <c r="C143" i="15"/>
  <c r="D143" i="15"/>
  <c r="C144" i="15"/>
  <c r="D144" i="15"/>
  <c r="C145" i="15"/>
  <c r="D145" i="15"/>
  <c r="C146" i="15"/>
  <c r="D146" i="15"/>
  <c r="C147" i="15"/>
  <c r="D147" i="15"/>
  <c r="C148" i="15"/>
  <c r="D148" i="15"/>
  <c r="C149" i="15"/>
  <c r="D149" i="15"/>
  <c r="C150" i="15"/>
  <c r="D150" i="15"/>
  <c r="C151" i="15"/>
  <c r="D151" i="15"/>
  <c r="C152" i="15"/>
  <c r="D152" i="15"/>
  <c r="C153" i="15"/>
  <c r="D153" i="15"/>
  <c r="C154" i="15"/>
  <c r="D154" i="15"/>
  <c r="C155" i="15"/>
  <c r="D155" i="15"/>
  <c r="C156" i="15"/>
  <c r="D156" i="15"/>
  <c r="C157" i="15"/>
  <c r="D157" i="15"/>
  <c r="C158" i="15"/>
  <c r="D158" i="15"/>
  <c r="C159" i="15"/>
  <c r="D159" i="15"/>
  <c r="C160" i="15"/>
  <c r="D160" i="15"/>
  <c r="C161" i="15"/>
  <c r="D161" i="15"/>
  <c r="C162" i="15"/>
  <c r="D162" i="15"/>
  <c r="C163" i="15"/>
  <c r="D163" i="15"/>
  <c r="C164" i="15"/>
  <c r="D164" i="15"/>
  <c r="C165" i="15"/>
  <c r="D165" i="15"/>
  <c r="C166" i="15"/>
  <c r="D166" i="15"/>
  <c r="C167" i="15"/>
  <c r="D167" i="15"/>
  <c r="C168" i="15"/>
  <c r="D168" i="15"/>
  <c r="C169" i="15"/>
  <c r="D169" i="15"/>
  <c r="C170" i="15"/>
  <c r="D170" i="15"/>
  <c r="C171" i="15"/>
  <c r="D171" i="15"/>
  <c r="C172" i="15"/>
  <c r="D172" i="15"/>
  <c r="C173" i="15"/>
  <c r="D173" i="15"/>
  <c r="C174" i="15"/>
  <c r="D174" i="15"/>
  <c r="C175" i="15"/>
  <c r="D175" i="15"/>
  <c r="C176" i="15"/>
  <c r="D176" i="15"/>
  <c r="C177" i="15"/>
  <c r="D177" i="15"/>
  <c r="C178" i="15"/>
  <c r="D178" i="15"/>
  <c r="C179" i="15"/>
  <c r="D179" i="15"/>
  <c r="C180" i="15"/>
  <c r="D180" i="15"/>
  <c r="C181" i="15"/>
  <c r="D181" i="15"/>
  <c r="C182" i="15"/>
  <c r="D182" i="15"/>
  <c r="C183" i="15"/>
  <c r="D183" i="15"/>
  <c r="C184" i="15"/>
  <c r="D184" i="15"/>
  <c r="C185" i="15"/>
  <c r="D185" i="15"/>
  <c r="C186" i="15"/>
  <c r="D186" i="15"/>
  <c r="C187" i="15"/>
  <c r="D187" i="15"/>
  <c r="C188" i="15"/>
  <c r="D188" i="15"/>
  <c r="C189" i="15"/>
  <c r="D189" i="15"/>
  <c r="C190" i="15"/>
  <c r="D190" i="15"/>
  <c r="C76" i="34" l="1"/>
  <c r="B93" i="34"/>
  <c r="B88" i="34"/>
  <c r="B83" i="34"/>
  <c r="B79" i="34"/>
  <c r="B41" i="29"/>
  <c r="C88" i="34"/>
  <c r="C83" i="34"/>
  <c r="C79" i="34"/>
  <c r="B89" i="34"/>
  <c r="B84" i="34"/>
  <c r="B80" i="34"/>
  <c r="B72" i="34"/>
  <c r="B44" i="29"/>
  <c r="B40" i="29"/>
  <c r="C41" i="29"/>
  <c r="C40" i="29"/>
  <c r="C87" i="34"/>
  <c r="C93" i="34"/>
  <c r="C89" i="34"/>
  <c r="C80" i="34"/>
  <c r="C44" i="29"/>
  <c r="B90" i="34"/>
  <c r="B86" i="34"/>
  <c r="B81" i="34"/>
  <c r="B75" i="34"/>
  <c r="B43" i="29"/>
  <c r="B42" i="29"/>
  <c r="B39" i="29"/>
  <c r="C90" i="34"/>
  <c r="C86" i="34"/>
  <c r="C81" i="34"/>
  <c r="C75" i="34"/>
  <c r="C43" i="29"/>
  <c r="C42" i="29"/>
  <c r="C39" i="29"/>
  <c r="C91" i="34"/>
  <c r="C82" i="34"/>
  <c r="C84" i="34"/>
  <c r="B91" i="34"/>
  <c r="B87" i="34"/>
  <c r="B82" i="34"/>
  <c r="B76" i="34"/>
  <c r="C74" i="34"/>
  <c r="C72" i="34"/>
  <c r="B41" i="34"/>
  <c r="B39" i="34"/>
  <c r="C40" i="34"/>
  <c r="C38" i="34"/>
  <c r="C41" i="34"/>
  <c r="C39" i="34"/>
  <c r="B42" i="34"/>
  <c r="B43" i="34"/>
  <c r="B40" i="34"/>
  <c r="B38" i="34"/>
  <c r="C42" i="34"/>
  <c r="C43" i="34"/>
  <c r="B30" i="34"/>
  <c r="C30" i="34"/>
  <c r="B31" i="34"/>
  <c r="C31" i="34"/>
  <c r="B32" i="34"/>
  <c r="C32" i="34"/>
  <c r="B33" i="34"/>
  <c r="C33" i="34"/>
  <c r="B34" i="34"/>
  <c r="C34" i="34"/>
  <c r="B35" i="34"/>
  <c r="C35" i="34"/>
  <c r="B36" i="34"/>
  <c r="C36" i="34"/>
  <c r="B37" i="34"/>
  <c r="C37" i="34"/>
  <c r="D111" i="2" l="1"/>
  <c r="B111" i="2"/>
  <c r="B110" i="2" l="1"/>
  <c r="D110" i="2" l="1"/>
  <c r="D109" i="2" l="1"/>
  <c r="B109" i="2"/>
  <c r="D108" i="2" l="1"/>
  <c r="B108" i="2"/>
  <c r="B107" i="2" l="1"/>
  <c r="D107" i="2" l="1"/>
  <c r="B106" i="2"/>
  <c r="D106" i="2" l="1"/>
  <c r="B105" i="2" l="1"/>
  <c r="D105" i="2" l="1"/>
  <c r="D104" i="2" l="1"/>
  <c r="B104" i="2"/>
  <c r="B103" i="2" l="1"/>
  <c r="D103" i="2" l="1"/>
  <c r="B102" i="2" l="1"/>
  <c r="D102" i="2" l="1"/>
  <c r="B101" i="2"/>
  <c r="D101" i="2" l="1"/>
  <c r="B100" i="2"/>
  <c r="D100" i="2" l="1"/>
  <c r="B99" i="2" l="1"/>
  <c r="D99" i="2" l="1"/>
  <c r="B98" i="2" l="1"/>
  <c r="D98" i="2" l="1"/>
  <c r="B97" i="2"/>
  <c r="D97" i="2" l="1"/>
  <c r="B96" i="2" l="1"/>
  <c r="D96" i="2" l="1"/>
  <c r="D93" i="2" l="1"/>
  <c r="D92" i="2" l="1"/>
  <c r="B92" i="2" l="1"/>
  <c r="B93" i="2" l="1"/>
  <c r="B112" i="2"/>
  <c r="D112" i="2"/>
  <c r="B113" i="2"/>
  <c r="D113" i="2"/>
  <c r="B114" i="2"/>
  <c r="D114" i="2"/>
  <c r="B115" i="2"/>
  <c r="D115" i="2"/>
  <c r="B116" i="2"/>
  <c r="D116" i="2"/>
  <c r="B117" i="2"/>
  <c r="D117" i="2"/>
  <c r="B118" i="2"/>
  <c r="D118" i="2"/>
  <c r="B119" i="2"/>
  <c r="D119" i="2"/>
  <c r="G23" i="2" l="1"/>
  <c r="A23" i="2"/>
  <c r="D23" i="2"/>
  <c r="B10" i="34"/>
  <c r="B3" i="34"/>
  <c r="B2" i="34"/>
  <c r="C38" i="22" l="1"/>
  <c r="B38" i="22"/>
  <c r="D51" i="2" l="1"/>
  <c r="B51" i="2"/>
  <c r="B15" i="29"/>
  <c r="F18" i="25" l="1"/>
  <c r="F19" i="25"/>
  <c r="F20" i="25"/>
  <c r="F21" i="25"/>
  <c r="F22" i="25"/>
  <c r="C29" i="34" l="1"/>
  <c r="B29" i="34"/>
  <c r="B17" i="34" l="1"/>
  <c r="B13" i="34"/>
  <c r="B28" i="34"/>
  <c r="B24" i="34"/>
  <c r="B16" i="34"/>
  <c r="B12" i="34"/>
  <c r="B27" i="34"/>
  <c r="B23" i="34"/>
  <c r="C16" i="34"/>
  <c r="C12" i="34"/>
  <c r="C27" i="34"/>
  <c r="C23" i="34"/>
  <c r="C25" i="34"/>
  <c r="C18" i="34"/>
  <c r="C17" i="34"/>
  <c r="C13" i="34"/>
  <c r="C28" i="34"/>
  <c r="C24" i="34"/>
  <c r="B14" i="34"/>
  <c r="B25" i="34"/>
  <c r="B15" i="34"/>
  <c r="B11" i="34"/>
  <c r="B26" i="34"/>
  <c r="B19" i="34"/>
  <c r="B18" i="34"/>
  <c r="C14" i="34"/>
  <c r="C15" i="34"/>
  <c r="C11" i="34"/>
  <c r="C26" i="34"/>
  <c r="C19" i="34"/>
  <c r="B44" i="33"/>
  <c r="B43" i="31"/>
  <c r="B44" i="30"/>
  <c r="C44" i="33"/>
  <c r="C43" i="31"/>
  <c r="C44" i="30"/>
  <c r="A30" i="2" l="1"/>
  <c r="A31" i="2" l="1"/>
  <c r="B29" i="29" l="1"/>
  <c r="C32" i="29"/>
  <c r="B30" i="29"/>
  <c r="B31" i="29"/>
  <c r="C30" i="29"/>
  <c r="C29" i="29"/>
  <c r="C31" i="29"/>
  <c r="B32" i="29"/>
  <c r="C42" i="18"/>
  <c r="B40" i="18"/>
  <c r="B29" i="33"/>
  <c r="B40" i="19"/>
  <c r="B42" i="19"/>
  <c r="C40" i="19"/>
  <c r="C42" i="19"/>
  <c r="C28" i="31"/>
  <c r="C29" i="33"/>
  <c r="B28" i="31"/>
  <c r="C40" i="18"/>
  <c r="B31" i="33"/>
  <c r="C31" i="33"/>
  <c r="B30" i="30"/>
  <c r="B29" i="30"/>
  <c r="C29" i="30"/>
  <c r="B42" i="18"/>
  <c r="C30" i="30"/>
  <c r="C30" i="31"/>
  <c r="B30" i="31"/>
  <c r="D22" i="2" l="1"/>
  <c r="C22" i="2"/>
  <c r="A22" i="2"/>
  <c r="G22" i="2" s="1"/>
  <c r="B59" i="33"/>
  <c r="C57" i="33"/>
  <c r="B57" i="33"/>
  <c r="C56" i="33"/>
  <c r="B56" i="33"/>
  <c r="C54" i="33"/>
  <c r="B54" i="33"/>
  <c r="C53" i="33"/>
  <c r="B53" i="33"/>
  <c r="E51" i="33"/>
  <c r="C51" i="33"/>
  <c r="B51" i="33"/>
  <c r="C40" i="33"/>
  <c r="C30" i="33"/>
  <c r="B30" i="33"/>
  <c r="B10" i="33"/>
  <c r="B3" i="33"/>
  <c r="B2" i="33"/>
  <c r="D21" i="2"/>
  <c r="A21" i="2"/>
  <c r="C21" i="2"/>
  <c r="D20" i="2"/>
  <c r="C20" i="2"/>
  <c r="A20" i="2"/>
  <c r="G20" i="2" s="1"/>
  <c r="A19" i="2"/>
  <c r="G19" i="2" s="1"/>
  <c r="D19" i="2"/>
  <c r="B10" i="31"/>
  <c r="C10" i="31"/>
  <c r="C19" i="2"/>
  <c r="B40" i="33" l="1"/>
  <c r="C41" i="33"/>
  <c r="B41" i="33"/>
  <c r="C43" i="33"/>
  <c r="B43" i="33"/>
  <c r="G21" i="2"/>
  <c r="B59" i="31"/>
  <c r="C57" i="31"/>
  <c r="B57" i="31"/>
  <c r="C56" i="31"/>
  <c r="B56" i="31"/>
  <c r="C54" i="31"/>
  <c r="B54" i="31"/>
  <c r="C53" i="31"/>
  <c r="B53" i="31"/>
  <c r="E51" i="31"/>
  <c r="C51" i="31"/>
  <c r="B51" i="31"/>
  <c r="C42" i="31"/>
  <c r="B42" i="31"/>
  <c r="C40" i="31"/>
  <c r="B40" i="31"/>
  <c r="C39" i="31"/>
  <c r="B39" i="31"/>
  <c r="C29" i="31"/>
  <c r="B29" i="31"/>
  <c r="B3" i="31"/>
  <c r="B2" i="31"/>
  <c r="B59" i="30"/>
  <c r="C57" i="30"/>
  <c r="B57" i="30"/>
  <c r="C56" i="30"/>
  <c r="B56" i="30"/>
  <c r="C54" i="30"/>
  <c r="B54" i="30"/>
  <c r="C53" i="30"/>
  <c r="B53" i="30"/>
  <c r="E51" i="30"/>
  <c r="C51" i="30"/>
  <c r="B51" i="30"/>
  <c r="C43" i="30"/>
  <c r="B43" i="30"/>
  <c r="C41" i="30"/>
  <c r="B41" i="30"/>
  <c r="C40" i="30"/>
  <c r="B40" i="30"/>
  <c r="C31" i="30"/>
  <c r="B31" i="30"/>
  <c r="B10" i="30"/>
  <c r="B3" i="30"/>
  <c r="B2" i="30"/>
  <c r="B58" i="29" l="1"/>
  <c r="C56" i="29"/>
  <c r="B56" i="29"/>
  <c r="C55" i="29"/>
  <c r="B55" i="29"/>
  <c r="C53" i="29"/>
  <c r="B53" i="29"/>
  <c r="C52" i="29"/>
  <c r="B52" i="29"/>
  <c r="E50" i="29"/>
  <c r="C50" i="29"/>
  <c r="B50" i="29"/>
  <c r="C10" i="29"/>
  <c r="B10" i="29"/>
  <c r="B3" i="29"/>
  <c r="B2" i="29"/>
  <c r="D17" i="2" l="1"/>
  <c r="C18" i="2"/>
  <c r="C72" i="15" l="1"/>
  <c r="B65" i="2" s="1"/>
  <c r="D72" i="15"/>
  <c r="D65" i="2" s="1"/>
  <c r="D35" i="2"/>
  <c r="D36" i="2"/>
  <c r="D37" i="2"/>
  <c r="D38" i="2"/>
  <c r="D41" i="2"/>
  <c r="D44" i="2"/>
  <c r="D47" i="2"/>
  <c r="B22" i="18"/>
  <c r="B47" i="2"/>
  <c r="B50" i="2"/>
  <c r="B30" i="2"/>
  <c r="D30" i="2"/>
  <c r="B31" i="2"/>
  <c r="D31" i="2"/>
  <c r="D32" i="2"/>
  <c r="B48" i="2" l="1"/>
  <c r="B14" i="29"/>
  <c r="B42" i="2"/>
  <c r="B12" i="29"/>
  <c r="D48" i="2"/>
  <c r="C14" i="29"/>
  <c r="D42" i="2"/>
  <c r="C12" i="29"/>
  <c r="B39" i="2"/>
  <c r="B11" i="29"/>
  <c r="D45" i="2"/>
  <c r="C13" i="29"/>
  <c r="D39" i="2"/>
  <c r="C11" i="29"/>
  <c r="B45" i="2"/>
  <c r="B13" i="29"/>
  <c r="B13" i="33"/>
  <c r="B46" i="2"/>
  <c r="B20" i="19"/>
  <c r="B38" i="2"/>
  <c r="B19" i="19"/>
  <c r="B37" i="2"/>
  <c r="B14" i="33"/>
  <c r="B49" i="2"/>
  <c r="B21" i="19"/>
  <c r="B41" i="2"/>
  <c r="B15" i="18"/>
  <c r="B33" i="2"/>
  <c r="C16" i="18"/>
  <c r="D34" i="2"/>
  <c r="B14" i="19"/>
  <c r="B32" i="2"/>
  <c r="C11" i="33"/>
  <c r="D40" i="2"/>
  <c r="C15" i="18"/>
  <c r="D33" i="2"/>
  <c r="B16" i="18"/>
  <c r="B34" i="2"/>
  <c r="C12" i="33"/>
  <c r="D43" i="2"/>
  <c r="B22" i="19"/>
  <c r="B44" i="2"/>
  <c r="B18" i="19"/>
  <c r="B36" i="2"/>
  <c r="C13" i="33"/>
  <c r="D46" i="2"/>
  <c r="B11" i="33"/>
  <c r="B40" i="2"/>
  <c r="C14" i="33"/>
  <c r="D49" i="2"/>
  <c r="B12" i="33"/>
  <c r="B43" i="2"/>
  <c r="B17" i="19"/>
  <c r="B35" i="2"/>
  <c r="B27" i="19"/>
  <c r="B15" i="33"/>
  <c r="B15" i="30"/>
  <c r="B23" i="18"/>
  <c r="B12" i="30"/>
  <c r="B12" i="31"/>
  <c r="C11" i="30"/>
  <c r="C11" i="31"/>
  <c r="B16" i="19"/>
  <c r="C23" i="18"/>
  <c r="C12" i="31"/>
  <c r="C12" i="30"/>
  <c r="B13" i="30"/>
  <c r="B13" i="31"/>
  <c r="B11" i="31"/>
  <c r="B11" i="30"/>
  <c r="C27" i="18"/>
  <c r="C14" i="31"/>
  <c r="C14" i="30"/>
  <c r="B15" i="19"/>
  <c r="B23" i="19"/>
  <c r="C13" i="30"/>
  <c r="C13" i="31"/>
  <c r="B27" i="18"/>
  <c r="B14" i="31"/>
  <c r="B14" i="30"/>
  <c r="C22" i="18"/>
  <c r="B32" i="27"/>
  <c r="B23" i="29"/>
  <c r="C23" i="29"/>
  <c r="B35" i="19"/>
  <c r="C80" i="15"/>
  <c r="D80" i="15"/>
  <c r="B73" i="2" l="1"/>
  <c r="D73" i="2"/>
  <c r="D94" i="2"/>
  <c r="B94" i="2"/>
  <c r="C12" i="22"/>
  <c r="D95" i="2"/>
  <c r="B12" i="22"/>
  <c r="C32" i="27"/>
  <c r="B37" i="29"/>
  <c r="B36" i="29"/>
  <c r="B24" i="29"/>
  <c r="C36" i="29"/>
  <c r="C41" i="27"/>
  <c r="C24" i="29"/>
  <c r="C37" i="29"/>
  <c r="B41" i="27"/>
  <c r="C35" i="29"/>
  <c r="C22" i="29"/>
  <c r="C26" i="29"/>
  <c r="B35" i="29"/>
  <c r="B38" i="29"/>
  <c r="C38" i="29"/>
  <c r="B34" i="29"/>
  <c r="B33" i="29"/>
  <c r="B27" i="29"/>
  <c r="B43" i="27"/>
  <c r="B28" i="29"/>
  <c r="B22" i="29"/>
  <c r="C43" i="27"/>
  <c r="C28" i="29"/>
  <c r="C34" i="29"/>
  <c r="C33" i="29"/>
  <c r="C27" i="29"/>
  <c r="B26" i="29"/>
  <c r="B38" i="19"/>
  <c r="C39" i="19"/>
  <c r="B53" i="19"/>
  <c r="B41" i="19"/>
  <c r="B39" i="19"/>
  <c r="C44" i="19"/>
  <c r="C43" i="19"/>
  <c r="C41" i="19"/>
  <c r="C38" i="19"/>
  <c r="B52" i="19"/>
  <c r="C53" i="19"/>
  <c r="B43" i="19"/>
  <c r="C52" i="19"/>
  <c r="C32" i="18"/>
  <c r="B34" i="19"/>
  <c r="B31" i="19"/>
  <c r="B33" i="19"/>
  <c r="B37" i="19"/>
  <c r="B36" i="19"/>
  <c r="B39" i="33"/>
  <c r="C41" i="31"/>
  <c r="C42" i="30"/>
  <c r="C38" i="30"/>
  <c r="C37" i="31"/>
  <c r="C35" i="33"/>
  <c r="C33" i="31"/>
  <c r="C34" i="30"/>
  <c r="C28" i="33"/>
  <c r="C23" i="30"/>
  <c r="C22" i="31"/>
  <c r="B38" i="33"/>
  <c r="B37" i="33"/>
  <c r="B35" i="31"/>
  <c r="B36" i="30"/>
  <c r="B33" i="33"/>
  <c r="B32" i="33"/>
  <c r="B26" i="33"/>
  <c r="B25" i="30"/>
  <c r="B24" i="31"/>
  <c r="B28" i="33"/>
  <c r="B27" i="30"/>
  <c r="B26" i="31"/>
  <c r="B24" i="33"/>
  <c r="B21" i="31"/>
  <c r="B22" i="30"/>
  <c r="C39" i="33"/>
  <c r="C27" i="30"/>
  <c r="C26" i="31"/>
  <c r="C24" i="33"/>
  <c r="C21" i="31"/>
  <c r="C22" i="30"/>
  <c r="B42" i="33"/>
  <c r="B36" i="31"/>
  <c r="B37" i="30"/>
  <c r="B34" i="33"/>
  <c r="B31" i="31"/>
  <c r="B32" i="30"/>
  <c r="B27" i="33"/>
  <c r="B23" i="33"/>
  <c r="C42" i="33"/>
  <c r="C38" i="33"/>
  <c r="C32" i="31"/>
  <c r="C33" i="30"/>
  <c r="C25" i="31"/>
  <c r="C26" i="30"/>
  <c r="C23" i="33"/>
  <c r="C33" i="33"/>
  <c r="C32" i="33"/>
  <c r="C26" i="33"/>
  <c r="C24" i="31"/>
  <c r="C25" i="30"/>
  <c r="B32" i="18"/>
  <c r="B23" i="30"/>
  <c r="B22" i="31"/>
  <c r="B32" i="31"/>
  <c r="B33" i="30"/>
  <c r="B25" i="31"/>
  <c r="B26" i="30"/>
  <c r="C36" i="31"/>
  <c r="C37" i="30"/>
  <c r="C34" i="33"/>
  <c r="C32" i="30"/>
  <c r="C31" i="31"/>
  <c r="C27" i="33"/>
  <c r="C22" i="33"/>
  <c r="C35" i="31"/>
  <c r="C36" i="30"/>
  <c r="B39" i="30"/>
  <c r="B38" i="31"/>
  <c r="B36" i="33"/>
  <c r="B35" i="30"/>
  <c r="B34" i="31"/>
  <c r="B25" i="33"/>
  <c r="B24" i="30"/>
  <c r="B23" i="31"/>
  <c r="B41" i="31"/>
  <c r="B42" i="30"/>
  <c r="B37" i="31"/>
  <c r="B38" i="30"/>
  <c r="B35" i="33"/>
  <c r="B34" i="30"/>
  <c r="B33" i="31"/>
  <c r="B22" i="33"/>
  <c r="C37" i="33"/>
  <c r="B27" i="31"/>
  <c r="B28" i="30"/>
  <c r="C38" i="31"/>
  <c r="C39" i="30"/>
  <c r="C36" i="33"/>
  <c r="C34" i="31"/>
  <c r="C35" i="30"/>
  <c r="C27" i="31"/>
  <c r="C28" i="30"/>
  <c r="C25" i="33"/>
  <c r="C24" i="30"/>
  <c r="C23" i="31"/>
  <c r="B43" i="18"/>
  <c r="C43" i="18"/>
  <c r="B52" i="18"/>
  <c r="B44" i="18"/>
  <c r="B39" i="18"/>
  <c r="C41" i="18"/>
  <c r="C52" i="18"/>
  <c r="C44" i="18"/>
  <c r="C39" i="18"/>
  <c r="C53" i="18"/>
  <c r="B53" i="18"/>
  <c r="B41" i="18"/>
  <c r="D74" i="15"/>
  <c r="C75" i="15"/>
  <c r="B68" i="2" s="1"/>
  <c r="D75" i="15"/>
  <c r="D68" i="2" s="1"/>
  <c r="C76" i="15"/>
  <c r="B69" i="2" s="1"/>
  <c r="D76" i="15"/>
  <c r="D69" i="2" s="1"/>
  <c r="C77" i="15"/>
  <c r="D77" i="15"/>
  <c r="C78" i="15"/>
  <c r="D78" i="15"/>
  <c r="B19" i="18"/>
  <c r="B20" i="18"/>
  <c r="B54" i="2"/>
  <c r="B55" i="2"/>
  <c r="B57" i="2"/>
  <c r="B58" i="2"/>
  <c r="B61" i="2"/>
  <c r="B62" i="2"/>
  <c r="B64" i="2"/>
  <c r="C19" i="18"/>
  <c r="C20" i="18"/>
  <c r="C21" i="18"/>
  <c r="D53" i="2"/>
  <c r="D54" i="2"/>
  <c r="D55" i="2"/>
  <c r="D57" i="2"/>
  <c r="D58" i="2"/>
  <c r="D61" i="2"/>
  <c r="D64" i="2"/>
  <c r="D73" i="15"/>
  <c r="D66" i="2" s="1"/>
  <c r="C49" i="19" l="1"/>
  <c r="B50" i="19"/>
  <c r="C50" i="19"/>
  <c r="C49" i="18"/>
  <c r="B51" i="19"/>
  <c r="B51" i="18"/>
  <c r="C51" i="19"/>
  <c r="C48" i="19"/>
  <c r="B48" i="19"/>
  <c r="B49" i="19"/>
  <c r="B49" i="18"/>
  <c r="C50" i="18"/>
  <c r="C46" i="18"/>
  <c r="C51" i="18"/>
  <c r="C47" i="18"/>
  <c r="B47" i="19"/>
  <c r="C46" i="19"/>
  <c r="B48" i="18"/>
  <c r="C48" i="18"/>
  <c r="B50" i="18"/>
  <c r="B71" i="2"/>
  <c r="B46" i="19"/>
  <c r="C47" i="19"/>
  <c r="C45" i="19"/>
  <c r="C45" i="18"/>
  <c r="D70" i="2"/>
  <c r="C45" i="29"/>
  <c r="C44" i="31"/>
  <c r="C45" i="33"/>
  <c r="C45" i="30"/>
  <c r="D71" i="2"/>
  <c r="C46" i="33"/>
  <c r="C46" i="30"/>
  <c r="C46" i="29"/>
  <c r="C45" i="31"/>
  <c r="C56" i="27"/>
  <c r="B70" i="2"/>
  <c r="B45" i="29"/>
  <c r="B45" i="33"/>
  <c r="B44" i="31"/>
  <c r="B45" i="30"/>
  <c r="B46" i="33"/>
  <c r="B46" i="29"/>
  <c r="B46" i="30"/>
  <c r="B45" i="31"/>
  <c r="B56" i="27"/>
  <c r="D62" i="2"/>
  <c r="B63" i="2"/>
  <c r="B17" i="29"/>
  <c r="D60" i="2"/>
  <c r="C16" i="29"/>
  <c r="B67" i="2"/>
  <c r="B18" i="29"/>
  <c r="D67" i="2"/>
  <c r="C18" i="29"/>
  <c r="D50" i="2"/>
  <c r="C15" i="29"/>
  <c r="B60" i="2"/>
  <c r="B16" i="29"/>
  <c r="D63" i="2"/>
  <c r="C17" i="29"/>
  <c r="B26" i="27"/>
  <c r="C26" i="27"/>
  <c r="C15" i="31"/>
  <c r="C17" i="33"/>
  <c r="B24" i="19"/>
  <c r="B53" i="2"/>
  <c r="B16" i="33"/>
  <c r="B26" i="19"/>
  <c r="B17" i="33"/>
  <c r="C16" i="33"/>
  <c r="B15" i="31"/>
  <c r="C18" i="33"/>
  <c r="C17" i="30"/>
  <c r="C31" i="18"/>
  <c r="C26" i="18"/>
  <c r="C17" i="31"/>
  <c r="B31" i="18"/>
  <c r="B26" i="18"/>
  <c r="B18" i="33"/>
  <c r="B17" i="31"/>
  <c r="B16" i="31"/>
  <c r="B16" i="30"/>
  <c r="C28" i="18"/>
  <c r="C15" i="33"/>
  <c r="C15" i="30"/>
  <c r="B17" i="30"/>
  <c r="B19" i="33"/>
  <c r="B18" i="30"/>
  <c r="B18" i="31"/>
  <c r="C16" i="31"/>
  <c r="C16" i="30"/>
  <c r="C19" i="33"/>
  <c r="C18" i="31"/>
  <c r="C18" i="30"/>
  <c r="C24" i="18"/>
  <c r="B25" i="18"/>
  <c r="C25" i="18"/>
  <c r="B24" i="18"/>
  <c r="B35" i="18"/>
  <c r="C34" i="18"/>
  <c r="C35" i="18"/>
  <c r="B3" i="28"/>
  <c r="B2" i="28"/>
  <c r="B9" i="28"/>
  <c r="B5" i="28"/>
  <c r="B127" i="2" l="1"/>
  <c r="B81" i="2"/>
  <c r="B46" i="22"/>
  <c r="B60" i="18"/>
  <c r="B64" i="27"/>
  <c r="B60" i="19"/>
  <c r="A91" i="2" l="1"/>
  <c r="G4" i="25" l="1"/>
  <c r="F43" i="25"/>
  <c r="G43" i="25" s="1"/>
  <c r="F44" i="25"/>
  <c r="G44" i="25" s="1"/>
  <c r="F45" i="25"/>
  <c r="G45" i="25" s="1"/>
  <c r="F46" i="25"/>
  <c r="G46" i="25" s="1"/>
  <c r="D39" i="25"/>
  <c r="D40" i="25"/>
  <c r="D41" i="25"/>
  <c r="D42" i="25"/>
  <c r="D43" i="25"/>
  <c r="D44" i="25"/>
  <c r="D45" i="25"/>
  <c r="D46" i="25"/>
  <c r="A39" i="25"/>
  <c r="A40" i="25"/>
  <c r="A41" i="25"/>
  <c r="A42" i="25"/>
  <c r="A43" i="25"/>
  <c r="B43" i="25"/>
  <c r="A44" i="25"/>
  <c r="B44" i="25"/>
  <c r="A45" i="25"/>
  <c r="B45" i="25"/>
  <c r="A46" i="25"/>
  <c r="B46" i="25"/>
  <c r="D38" i="25"/>
  <c r="A38" i="25"/>
  <c r="F34" i="25"/>
  <c r="G34" i="25" s="1"/>
  <c r="F35" i="25"/>
  <c r="G35" i="25" s="1"/>
  <c r="D29" i="25"/>
  <c r="D30" i="25"/>
  <c r="D31" i="25"/>
  <c r="D32" i="25"/>
  <c r="D33" i="25"/>
  <c r="D34" i="25"/>
  <c r="D35" i="25"/>
  <c r="B34" i="25"/>
  <c r="B35" i="25"/>
  <c r="A29" i="25"/>
  <c r="A30" i="25"/>
  <c r="A31" i="25"/>
  <c r="A32" i="25"/>
  <c r="A33" i="25"/>
  <c r="A34" i="25"/>
  <c r="A35" i="25"/>
  <c r="D28" i="25"/>
  <c r="A28" i="25"/>
  <c r="F17" i="25"/>
  <c r="G17" i="25" s="1"/>
  <c r="G18" i="25"/>
  <c r="G19" i="25"/>
  <c r="G20" i="25"/>
  <c r="G21" i="25"/>
  <c r="G22" i="25"/>
  <c r="F23" i="25"/>
  <c r="G23" i="25" s="1"/>
  <c r="F24" i="25"/>
  <c r="G24" i="25" s="1"/>
  <c r="F25" i="25"/>
  <c r="G25" i="25" s="1"/>
  <c r="D13" i="25"/>
  <c r="D14" i="25"/>
  <c r="D15" i="25"/>
  <c r="D16" i="25"/>
  <c r="D17" i="25"/>
  <c r="D18" i="25"/>
  <c r="D19" i="25"/>
  <c r="D20" i="25"/>
  <c r="D21" i="25"/>
  <c r="D22" i="25"/>
  <c r="D23" i="25"/>
  <c r="D24" i="25"/>
  <c r="D25" i="25"/>
  <c r="A13" i="25"/>
  <c r="A14" i="25"/>
  <c r="A15" i="25"/>
  <c r="A16" i="25"/>
  <c r="A17" i="25"/>
  <c r="B17" i="25"/>
  <c r="A18" i="25"/>
  <c r="B18" i="25"/>
  <c r="A19" i="25"/>
  <c r="B19" i="25"/>
  <c r="A20" i="25"/>
  <c r="B20" i="25"/>
  <c r="A21" i="25"/>
  <c r="B21" i="25"/>
  <c r="A22" i="25"/>
  <c r="B22" i="25"/>
  <c r="A23" i="25"/>
  <c r="B23" i="25"/>
  <c r="A24" i="25"/>
  <c r="B24" i="25"/>
  <c r="A25" i="25"/>
  <c r="B25" i="25"/>
  <c r="D12" i="25"/>
  <c r="A12" i="25"/>
  <c r="B5" i="25" l="1"/>
  <c r="B4" i="25"/>
  <c r="B3" i="25"/>
  <c r="B2" i="25"/>
  <c r="F33" i="25" l="1"/>
  <c r="G33" i="25" s="1"/>
  <c r="F13" i="25" l="1"/>
  <c r="G13" i="25" s="1"/>
  <c r="F40" i="25"/>
  <c r="G40" i="25" s="1"/>
  <c r="F38" i="25"/>
  <c r="G38" i="25" s="1"/>
  <c r="F32" i="25"/>
  <c r="G32" i="25" s="1"/>
  <c r="F29" i="25"/>
  <c r="G29" i="25" s="1"/>
  <c r="F28" i="25"/>
  <c r="G28" i="25" s="1"/>
  <c r="F42" i="25"/>
  <c r="G42" i="25" s="1"/>
  <c r="F41" i="25"/>
  <c r="G41" i="25" s="1"/>
  <c r="F15" i="25"/>
  <c r="G15" i="25" s="1"/>
  <c r="F39" i="25"/>
  <c r="G39" i="25" s="1"/>
  <c r="F14" i="25"/>
  <c r="G14" i="25" s="1"/>
  <c r="F31" i="25"/>
  <c r="G31" i="25" s="1"/>
  <c r="F30" i="25"/>
  <c r="G30" i="25" s="1"/>
  <c r="F12" i="25"/>
  <c r="G12" i="25" s="1"/>
  <c r="F16" i="25"/>
  <c r="G16" i="25" s="1"/>
  <c r="B91" i="2"/>
  <c r="B26" i="22"/>
  <c r="B27" i="22"/>
  <c r="C26" i="22"/>
  <c r="C27" i="22"/>
  <c r="C30" i="22" l="1"/>
  <c r="B29" i="22"/>
  <c r="B28" i="22"/>
  <c r="B30" i="22"/>
  <c r="C29" i="22"/>
  <c r="C28" i="22"/>
  <c r="C25" i="22"/>
  <c r="C24" i="22"/>
  <c r="B25" i="22"/>
  <c r="B24" i="22"/>
  <c r="G47" i="25"/>
  <c r="G26" i="25"/>
  <c r="G36" i="25"/>
  <c r="D91" i="2"/>
  <c r="A29" i="2"/>
  <c r="A28" i="2"/>
  <c r="C17" i="2"/>
  <c r="A17" i="2"/>
  <c r="A18" i="2"/>
  <c r="G18" i="2" l="1"/>
  <c r="G17" i="2"/>
  <c r="G49" i="25"/>
  <c r="C31" i="22"/>
  <c r="B5" i="8"/>
  <c r="B4" i="8"/>
  <c r="B3" i="8"/>
  <c r="B2" i="8"/>
  <c r="B1" i="8"/>
  <c r="A17" i="9"/>
  <c r="C10" i="9"/>
  <c r="C8" i="9"/>
  <c r="C7" i="9"/>
  <c r="C6" i="9"/>
  <c r="C5" i="9"/>
  <c r="C4" i="9"/>
  <c r="C10" i="2"/>
  <c r="C4" i="2"/>
  <c r="C3" i="2"/>
  <c r="C2" i="2"/>
  <c r="C1" i="2"/>
  <c r="C3" i="9"/>
  <c r="C2" i="9"/>
  <c r="C1" i="9"/>
  <c r="C49" i="22"/>
  <c r="B49" i="22"/>
  <c r="C48" i="22"/>
  <c r="B48" i="22"/>
  <c r="C46" i="22"/>
  <c r="C45" i="22"/>
  <c r="B45" i="22"/>
  <c r="E43" i="22"/>
  <c r="B43" i="22"/>
  <c r="B3" i="22"/>
  <c r="A3" i="22"/>
  <c r="B2" i="22"/>
  <c r="B3" i="27"/>
  <c r="A3" i="27"/>
  <c r="B2" i="27"/>
  <c r="B3" i="19"/>
  <c r="A3" i="19"/>
  <c r="B2" i="19"/>
  <c r="B69" i="27"/>
  <c r="C67" i="27"/>
  <c r="B67" i="27"/>
  <c r="C66" i="27"/>
  <c r="B66" i="27"/>
  <c r="C64" i="27"/>
  <c r="C63" i="27"/>
  <c r="B63" i="27"/>
  <c r="E61" i="27"/>
  <c r="C61" i="27"/>
  <c r="B61" i="27"/>
  <c r="C63" i="19"/>
  <c r="B63" i="19"/>
  <c r="C62" i="19"/>
  <c r="B62" i="19"/>
  <c r="C60" i="19"/>
  <c r="C59" i="19"/>
  <c r="B59" i="19"/>
  <c r="E57" i="19"/>
  <c r="C57" i="19"/>
  <c r="B57" i="19"/>
  <c r="B65" i="18"/>
  <c r="C57" i="18"/>
  <c r="C63" i="18"/>
  <c r="B63" i="18"/>
  <c r="C62" i="18"/>
  <c r="B62" i="18"/>
  <c r="C60" i="18"/>
  <c r="C59" i="18"/>
  <c r="B59" i="18"/>
  <c r="E57" i="18"/>
  <c r="B57" i="18"/>
  <c r="B3" i="18"/>
  <c r="B2" i="18"/>
  <c r="E98" i="2"/>
  <c r="E92" i="2"/>
  <c r="E96" i="2"/>
  <c r="E109" i="2"/>
  <c r="E104" i="2"/>
  <c r="E113" i="2"/>
  <c r="E94" i="2"/>
  <c r="E105" i="2"/>
  <c r="E97" i="2"/>
  <c r="E101" i="2"/>
  <c r="E112" i="2"/>
  <c r="E100" i="2"/>
  <c r="E95" i="2"/>
  <c r="E118" i="2"/>
  <c r="E107" i="2"/>
  <c r="E110" i="2"/>
  <c r="E103" i="2"/>
  <c r="E117" i="2"/>
  <c r="E111" i="2"/>
  <c r="E119" i="2"/>
  <c r="E108" i="2"/>
  <c r="E106" i="2"/>
  <c r="E115" i="2"/>
  <c r="E99" i="2"/>
  <c r="E114" i="2"/>
  <c r="E93" i="2"/>
  <c r="E102" i="2"/>
  <c r="E116" i="2"/>
  <c r="E91" i="2"/>
  <c r="E73" i="2" l="1"/>
  <c r="E30" i="2"/>
  <c r="E59" i="2"/>
  <c r="E36" i="2"/>
  <c r="E44" i="2"/>
  <c r="E52" i="2"/>
  <c r="E61" i="2"/>
  <c r="E69" i="2"/>
  <c r="E43" i="2"/>
  <c r="E60" i="2"/>
  <c r="E68" i="2"/>
  <c r="E32" i="2"/>
  <c r="E40" i="2"/>
  <c r="E65" i="2"/>
  <c r="E72" i="2"/>
  <c r="E35" i="2"/>
  <c r="E51" i="2"/>
  <c r="E56" i="2"/>
  <c r="E62" i="2"/>
  <c r="E34" i="2"/>
  <c r="E42" i="2"/>
  <c r="E50" i="2"/>
  <c r="E58" i="2"/>
  <c r="E67" i="2"/>
  <c r="E33" i="2"/>
  <c r="E41" i="2"/>
  <c r="E49" i="2"/>
  <c r="E57" i="2"/>
  <c r="E66" i="2"/>
  <c r="E48" i="2"/>
  <c r="E31" i="2"/>
  <c r="E39" i="2"/>
  <c r="E47" i="2"/>
  <c r="E55" i="2"/>
  <c r="E64" i="2"/>
  <c r="E38" i="2"/>
  <c r="E46" i="2"/>
  <c r="E54" i="2"/>
  <c r="E63" i="2"/>
  <c r="E71" i="2"/>
  <c r="E29" i="2"/>
  <c r="E37" i="2"/>
  <c r="E45" i="2"/>
  <c r="E53" i="2"/>
  <c r="E70" i="2"/>
  <c r="C32" i="22"/>
  <c r="D35" i="15" l="1"/>
  <c r="C35" i="15"/>
  <c r="B321" i="12"/>
  <c r="B325" i="12" s="1"/>
  <c r="B314" i="12"/>
  <c r="B315" i="12" s="1"/>
  <c r="B295" i="12"/>
  <c r="B307" i="12" s="1"/>
  <c r="B289" i="12"/>
  <c r="B293" i="12" s="1"/>
  <c r="B282" i="12"/>
  <c r="B283" i="12" s="1"/>
  <c r="B275" i="12"/>
  <c r="B267" i="12"/>
  <c r="B271" i="12" s="1"/>
  <c r="B258" i="12"/>
  <c r="B263" i="12" s="1"/>
  <c r="B253" i="12"/>
  <c r="B254" i="12" s="1"/>
  <c r="B246" i="12"/>
  <c r="B250" i="12" s="1"/>
  <c r="B239" i="12"/>
  <c r="B240" i="12" s="1"/>
  <c r="B224" i="12"/>
  <c r="B232" i="12" s="1"/>
  <c r="B216" i="12"/>
  <c r="B221" i="12" s="1"/>
  <c r="B187" i="12"/>
  <c r="B209" i="12" s="1"/>
  <c r="B175" i="12"/>
  <c r="B163" i="12"/>
  <c r="B164" i="12" s="1"/>
  <c r="B148" i="12"/>
  <c r="B160" i="12" s="1"/>
  <c r="B143" i="12"/>
  <c r="B144" i="12" s="1"/>
  <c r="B136" i="12"/>
  <c r="B126" i="12"/>
  <c r="B139" i="12" s="1"/>
  <c r="B117" i="12"/>
  <c r="B122" i="12" s="1"/>
  <c r="B109" i="12"/>
  <c r="B113" i="12" s="1"/>
  <c r="B99" i="12"/>
  <c r="B103" i="12" s="1"/>
  <c r="B92" i="12"/>
  <c r="B96" i="12" s="1"/>
  <c r="B85" i="12"/>
  <c r="B86" i="12" s="1"/>
  <c r="B78" i="12"/>
  <c r="B60" i="12"/>
  <c r="B75" i="12" s="1"/>
  <c r="B47" i="12"/>
  <c r="B57" i="12" s="1"/>
  <c r="B31" i="12"/>
  <c r="B45" i="12" s="1"/>
  <c r="B19" i="12"/>
  <c r="B13" i="12"/>
  <c r="B14" i="12" s="1"/>
  <c r="B3" i="12"/>
  <c r="B11" i="12" s="1"/>
  <c r="B133" i="12" l="1"/>
  <c r="B95" i="12"/>
  <c r="B123" i="12"/>
  <c r="B40" i="12"/>
  <c r="B65" i="12"/>
  <c r="B114" i="12"/>
  <c r="B104" i="12"/>
  <c r="B285" i="12"/>
  <c r="B64" i="12"/>
  <c r="B324" i="12"/>
  <c r="B227" i="12"/>
  <c r="B284" i="12"/>
  <c r="B193" i="12"/>
  <c r="B33" i="12"/>
  <c r="B93" i="12"/>
  <c r="B100" i="12"/>
  <c r="B110" i="12"/>
  <c r="B119" i="12"/>
  <c r="B129" i="12"/>
  <c r="B138" i="12"/>
  <c r="B169" i="12"/>
  <c r="B189" i="12"/>
  <c r="B199" i="12"/>
  <c r="B211" i="12"/>
  <c r="B291" i="12"/>
  <c r="B300" i="12"/>
  <c r="B317" i="12"/>
  <c r="B204" i="12"/>
  <c r="B312" i="12"/>
  <c r="B43" i="12"/>
  <c r="B145" i="12"/>
  <c r="B167" i="12"/>
  <c r="B188" i="12"/>
  <c r="B197" i="12"/>
  <c r="B205" i="12"/>
  <c r="B219" i="12"/>
  <c r="B299" i="12"/>
  <c r="B35" i="12"/>
  <c r="B94" i="12"/>
  <c r="B120" i="12"/>
  <c r="B130" i="12"/>
  <c r="B156" i="12"/>
  <c r="B190" i="12"/>
  <c r="B201" i="12"/>
  <c r="B213" i="12"/>
  <c r="B292" i="12"/>
  <c r="B308" i="12"/>
  <c r="B53" i="12"/>
  <c r="B6" i="12"/>
  <c r="B87" i="12"/>
  <c r="B157" i="12"/>
  <c r="B229" i="12"/>
  <c r="B37" i="12"/>
  <c r="B44" i="12"/>
  <c r="B49" i="12"/>
  <c r="B56" i="12"/>
  <c r="B88" i="12"/>
  <c r="B150" i="12"/>
  <c r="B225" i="12"/>
  <c r="B230" i="12"/>
  <c r="B241" i="12"/>
  <c r="B248" i="12"/>
  <c r="B260" i="12"/>
  <c r="B304" i="12"/>
  <c r="B322" i="12"/>
  <c r="B48" i="12"/>
  <c r="B54" i="12"/>
  <c r="B247" i="12"/>
  <c r="B7" i="12"/>
  <c r="B32" i="12"/>
  <c r="B39" i="12"/>
  <c r="B50" i="12"/>
  <c r="B151" i="12"/>
  <c r="B192" i="12"/>
  <c r="B200" i="12"/>
  <c r="B207" i="12"/>
  <c r="B218" i="12"/>
  <c r="B226" i="12"/>
  <c r="B231" i="12"/>
  <c r="B242" i="12"/>
  <c r="B249" i="12"/>
  <c r="B261" i="12"/>
  <c r="B290" i="12"/>
  <c r="B296" i="12"/>
  <c r="B316" i="12"/>
  <c r="B323" i="12"/>
  <c r="B28" i="12"/>
  <c r="B24" i="12"/>
  <c r="B20" i="12"/>
  <c r="B25" i="12"/>
  <c r="B181" i="12"/>
  <c r="B177" i="12"/>
  <c r="B184" i="12"/>
  <c r="B180" i="12"/>
  <c r="B176" i="12"/>
  <c r="B183" i="12"/>
  <c r="B21" i="12"/>
  <c r="B26" i="12"/>
  <c r="B80" i="12"/>
  <c r="B79" i="12"/>
  <c r="B178" i="12"/>
  <c r="B277" i="12"/>
  <c r="B276" i="12"/>
  <c r="B9" i="12"/>
  <c r="B5" i="12"/>
  <c r="B8" i="12"/>
  <c r="B15" i="12"/>
  <c r="B22" i="12"/>
  <c r="B27" i="12"/>
  <c r="B74" i="12"/>
  <c r="B67" i="12"/>
  <c r="B63" i="12"/>
  <c r="B72" i="12"/>
  <c r="B66" i="12"/>
  <c r="B62" i="12"/>
  <c r="B68" i="12"/>
  <c r="B81" i="12"/>
  <c r="B179" i="12"/>
  <c r="B270" i="12"/>
  <c r="B269" i="12"/>
  <c r="B278" i="12"/>
  <c r="B4" i="12"/>
  <c r="B10" i="12"/>
  <c r="B16" i="12"/>
  <c r="B23" i="12"/>
  <c r="B42" i="12"/>
  <c r="B38" i="12"/>
  <c r="B34" i="12"/>
  <c r="B36" i="12"/>
  <c r="B41" i="12"/>
  <c r="B61" i="12"/>
  <c r="B71" i="12"/>
  <c r="B82" i="12"/>
  <c r="B106" i="12"/>
  <c r="B102" i="12"/>
  <c r="B105" i="12"/>
  <c r="B101" i="12"/>
  <c r="B112" i="12"/>
  <c r="B111" i="12"/>
  <c r="B137" i="12"/>
  <c r="B132" i="12"/>
  <c r="B128" i="12"/>
  <c r="B140" i="12"/>
  <c r="B131" i="12"/>
  <c r="B127" i="12"/>
  <c r="B134" i="12"/>
  <c r="B171" i="12"/>
  <c r="B166" i="12"/>
  <c r="B170" i="12"/>
  <c r="B165" i="12"/>
  <c r="B172" i="12"/>
  <c r="B182" i="12"/>
  <c r="B268" i="12"/>
  <c r="B279" i="12"/>
  <c r="B310" i="12"/>
  <c r="B306" i="12"/>
  <c r="B302" i="12"/>
  <c r="B298" i="12"/>
  <c r="B309" i="12"/>
  <c r="B305" i="12"/>
  <c r="B301" i="12"/>
  <c r="B297" i="12"/>
  <c r="B303" i="12"/>
  <c r="B311" i="12"/>
  <c r="B89" i="12"/>
  <c r="B121" i="12"/>
  <c r="B153" i="12"/>
  <c r="B158" i="12"/>
  <c r="B220" i="12"/>
  <c r="B243" i="12"/>
  <c r="B262" i="12"/>
  <c r="B286" i="12"/>
  <c r="B318" i="12"/>
  <c r="B52" i="12"/>
  <c r="B118" i="12"/>
  <c r="B149" i="12"/>
  <c r="B154" i="12"/>
  <c r="B191" i="12"/>
  <c r="B198" i="12"/>
  <c r="B203" i="12"/>
  <c r="B217" i="12"/>
  <c r="B228" i="12"/>
  <c r="B259" i="12"/>
  <c r="B31" i="22" l="1"/>
  <c r="B34" i="22"/>
  <c r="C33" i="22"/>
  <c r="C191" i="15"/>
  <c r="D191" i="15"/>
  <c r="C192" i="15"/>
  <c r="D192" i="15"/>
  <c r="C193" i="15"/>
  <c r="D193" i="15"/>
  <c r="C194" i="15"/>
  <c r="D194" i="15"/>
  <c r="C195" i="15"/>
  <c r="D195" i="15"/>
  <c r="C196" i="15"/>
  <c r="D196" i="15"/>
  <c r="C197" i="15"/>
  <c r="D197" i="15"/>
  <c r="C198" i="15"/>
  <c r="D198" i="15"/>
  <c r="C199" i="15"/>
  <c r="D199" i="15"/>
  <c r="C200" i="15"/>
  <c r="D200" i="15"/>
  <c r="C201" i="15"/>
  <c r="D201" i="15"/>
  <c r="C202" i="15"/>
  <c r="D202" i="15"/>
  <c r="C203" i="15"/>
  <c r="D203" i="15"/>
  <c r="C204" i="15"/>
  <c r="D204" i="15"/>
  <c r="C205" i="15"/>
  <c r="D205" i="15"/>
  <c r="C206" i="15"/>
  <c r="D206" i="15"/>
  <c r="C207" i="15"/>
  <c r="D207" i="15"/>
  <c r="C208" i="15"/>
  <c r="D208" i="15"/>
  <c r="C209" i="15"/>
  <c r="D209" i="15"/>
  <c r="C210" i="15"/>
  <c r="D210" i="15"/>
  <c r="C211" i="15"/>
  <c r="D211" i="15"/>
  <c r="C212" i="15"/>
  <c r="D212" i="15"/>
  <c r="C213" i="15"/>
  <c r="D213" i="15"/>
  <c r="C214" i="15"/>
  <c r="D214" i="15"/>
  <c r="C215" i="15"/>
  <c r="D215" i="15"/>
  <c r="C216" i="15"/>
  <c r="D216" i="15"/>
  <c r="C217" i="15"/>
  <c r="D217" i="15"/>
  <c r="C218" i="15"/>
  <c r="D218" i="15"/>
  <c r="C219" i="15"/>
  <c r="D219" i="15"/>
  <c r="C220" i="15"/>
  <c r="D220" i="15"/>
  <c r="C221" i="15"/>
  <c r="D221" i="15"/>
  <c r="C36" i="15"/>
  <c r="B29" i="2" s="1"/>
  <c r="D36" i="15"/>
  <c r="B12" i="18"/>
  <c r="C12" i="18"/>
  <c r="B13" i="18"/>
  <c r="C13" i="18"/>
  <c r="B14" i="18"/>
  <c r="C14" i="18"/>
  <c r="B17" i="18"/>
  <c r="C17" i="18"/>
  <c r="B18" i="18"/>
  <c r="C18" i="18"/>
  <c r="C73" i="15"/>
  <c r="B47" i="18" s="1"/>
  <c r="B44" i="19" l="1"/>
  <c r="B46" i="18"/>
  <c r="B66" i="2"/>
  <c r="B45" i="18"/>
  <c r="B45" i="19"/>
  <c r="C29" i="18"/>
  <c r="B29" i="19"/>
  <c r="B29" i="18"/>
  <c r="B19" i="29"/>
  <c r="B19" i="30"/>
  <c r="B20" i="29"/>
  <c r="B19" i="31"/>
  <c r="C20" i="29"/>
  <c r="C19" i="31"/>
  <c r="C19" i="29"/>
  <c r="C19" i="30"/>
  <c r="C36" i="22"/>
  <c r="C30" i="18"/>
  <c r="C20" i="31"/>
  <c r="C21" i="30"/>
  <c r="B21" i="30"/>
  <c r="B20" i="31"/>
  <c r="B21" i="33"/>
  <c r="C21" i="33"/>
  <c r="B28" i="19"/>
  <c r="B28" i="18"/>
  <c r="B20" i="33"/>
  <c r="B20" i="30"/>
  <c r="C20" i="33"/>
  <c r="C20" i="30"/>
  <c r="B30" i="19"/>
  <c r="B30" i="18"/>
  <c r="B38" i="18"/>
  <c r="B37" i="18"/>
  <c r="C36" i="18"/>
  <c r="C37" i="18"/>
  <c r="C38" i="18"/>
  <c r="B34" i="18"/>
  <c r="B36" i="18"/>
  <c r="B37" i="22"/>
  <c r="B35" i="22"/>
  <c r="B33" i="22"/>
  <c r="B32" i="22"/>
  <c r="B36" i="22"/>
  <c r="C35" i="22"/>
  <c r="C34" i="22"/>
  <c r="A16" i="2"/>
  <c r="G16" i="2" l="1"/>
  <c r="E130" i="2"/>
  <c r="E78" i="2" l="1"/>
  <c r="D18" i="2" l="1"/>
  <c r="B130" i="2" l="1"/>
  <c r="E129" i="2"/>
  <c r="B129" i="2"/>
  <c r="E127" i="2"/>
  <c r="E126" i="2"/>
  <c r="B126" i="2"/>
  <c r="B124" i="2"/>
  <c r="B84" i="2"/>
  <c r="E84" i="2"/>
  <c r="B80" i="2" l="1"/>
  <c r="E80" i="2"/>
  <c r="E83" i="2"/>
  <c r="B83" i="2"/>
  <c r="E81" i="2"/>
  <c r="B78" i="2"/>
  <c r="B86" i="2" l="1"/>
  <c r="C55" i="27"/>
  <c r="B55" i="27"/>
  <c r="C54" i="27"/>
  <c r="B54" i="27"/>
  <c r="C53" i="27"/>
  <c r="B53" i="27"/>
  <c r="C52" i="27"/>
  <c r="B52" i="27"/>
  <c r="C51" i="27"/>
  <c r="B51" i="27"/>
  <c r="C50" i="27"/>
  <c r="B50" i="27"/>
  <c r="C49" i="27"/>
  <c r="B49" i="27"/>
  <c r="C48" i="27"/>
  <c r="B48" i="27"/>
  <c r="C47" i="27"/>
  <c r="B47" i="27"/>
  <c r="C46" i="27"/>
  <c r="B46" i="27"/>
  <c r="C45" i="27"/>
  <c r="B45" i="27"/>
  <c r="C44" i="27"/>
  <c r="B44" i="27"/>
  <c r="C42" i="27"/>
  <c r="B42" i="27"/>
  <c r="C40" i="27"/>
  <c r="B40" i="27"/>
  <c r="C39" i="27"/>
  <c r="B39" i="27"/>
  <c r="C38" i="27"/>
  <c r="B38" i="27"/>
  <c r="C37" i="27"/>
  <c r="B37" i="27"/>
  <c r="C36" i="27"/>
  <c r="B36" i="27"/>
  <c r="C35" i="27"/>
  <c r="B35" i="27"/>
  <c r="C34" i="27"/>
  <c r="B34" i="27"/>
  <c r="C33" i="27"/>
  <c r="B33" i="27"/>
  <c r="C31" i="27"/>
  <c r="B31" i="27"/>
  <c r="C30" i="27"/>
  <c r="B30" i="27"/>
  <c r="C29" i="27"/>
  <c r="B29" i="27"/>
  <c r="C28" i="27"/>
  <c r="B28" i="27"/>
  <c r="C27" i="27"/>
  <c r="B27" i="27"/>
  <c r="C25" i="27"/>
  <c r="B25" i="27"/>
  <c r="C24" i="27"/>
  <c r="B24" i="27"/>
  <c r="C23" i="27"/>
  <c r="B23" i="27"/>
  <c r="C22" i="27"/>
  <c r="B22" i="27"/>
  <c r="C21" i="27"/>
  <c r="B21" i="27"/>
  <c r="C20" i="27"/>
  <c r="B20" i="27"/>
  <c r="C19" i="27"/>
  <c r="B19" i="27"/>
  <c r="C18" i="27"/>
  <c r="B18" i="27"/>
  <c r="C17" i="27"/>
  <c r="B17" i="27"/>
  <c r="C16" i="27"/>
  <c r="B16" i="27"/>
  <c r="C15" i="27"/>
  <c r="B15" i="27"/>
  <c r="C14" i="27"/>
  <c r="B14" i="27"/>
  <c r="C13" i="27"/>
  <c r="B13" i="27"/>
  <c r="C12" i="27"/>
  <c r="B12" i="27"/>
  <c r="C11" i="27"/>
  <c r="B11" i="27"/>
  <c r="C10" i="27"/>
  <c r="B10" i="27"/>
  <c r="B13" i="22" l="1"/>
  <c r="C13" i="22"/>
  <c r="B14" i="22"/>
  <c r="C14" i="22"/>
  <c r="B15" i="22"/>
  <c r="C15" i="22"/>
  <c r="B16" i="22"/>
  <c r="C16" i="22"/>
  <c r="B17" i="22"/>
  <c r="C17" i="22"/>
  <c r="B18" i="22"/>
  <c r="C18" i="22"/>
  <c r="B19" i="22"/>
  <c r="C19" i="22"/>
  <c r="B20" i="22"/>
  <c r="C20" i="22"/>
  <c r="B21" i="22"/>
  <c r="C21" i="22"/>
  <c r="B22" i="22"/>
  <c r="C22" i="22"/>
  <c r="B23" i="22"/>
  <c r="C23" i="22"/>
  <c r="B10" i="22"/>
  <c r="B11" i="19"/>
  <c r="C11" i="19"/>
  <c r="B12" i="19"/>
  <c r="C12" i="19"/>
  <c r="B13" i="19"/>
  <c r="C13" i="19"/>
  <c r="C14" i="19"/>
  <c r="C15" i="19"/>
  <c r="C16" i="19"/>
  <c r="C17" i="19"/>
  <c r="C18" i="19"/>
  <c r="C19" i="19"/>
  <c r="C20" i="19"/>
  <c r="C21" i="19"/>
  <c r="C22" i="19"/>
  <c r="C23" i="19"/>
  <c r="C24" i="19"/>
  <c r="C25" i="19"/>
  <c r="C26" i="19"/>
  <c r="C27" i="19"/>
  <c r="C28" i="19"/>
  <c r="C29" i="19"/>
  <c r="C30" i="19"/>
  <c r="C31" i="19"/>
  <c r="C33" i="19"/>
  <c r="C34" i="19"/>
  <c r="C35" i="19"/>
  <c r="C36" i="19"/>
  <c r="C37" i="19"/>
  <c r="B10" i="19"/>
  <c r="C11" i="18"/>
  <c r="B11" i="18"/>
  <c r="B10" i="18" l="1"/>
  <c r="A35" i="15" l="1"/>
  <c r="A36" i="15" l="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l="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B121" i="2"/>
  <c r="B7" i="25" l="1"/>
  <c r="A49" i="25" s="1"/>
  <c r="B28" i="2"/>
  <c r="A110" i="15" l="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B17" i="9"/>
  <c r="D29" i="2" l="1"/>
  <c r="B75" i="2" l="1"/>
  <c r="A212" i="15" l="1"/>
  <c r="A213" i="15" s="1"/>
  <c r="A214" i="15" s="1"/>
  <c r="A215" i="15" s="1"/>
  <c r="A216" i="15" s="1"/>
  <c r="A217" i="15" s="1"/>
  <c r="A218" i="15" s="1"/>
  <c r="A219" i="15" s="1"/>
  <c r="A220" i="15" s="1"/>
  <c r="A221" i="15" s="1"/>
  <c r="G1" i="5"/>
  <c r="G1" i="4"/>
  <c r="G7" i="25" l="1"/>
  <c r="C7" i="25" l="1"/>
  <c r="B49" i="25" s="1"/>
  <c r="C11" i="8"/>
  <c r="A546" i="11" l="1"/>
  <c r="A297" i="11" l="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269" i="26" l="1"/>
  <c r="E372" i="26"/>
  <c r="E373" i="26"/>
  <c r="E374" i="26"/>
  <c r="E381" i="26"/>
  <c r="E375" i="26"/>
  <c r="E376" i="26"/>
  <c r="E377" i="26"/>
  <c r="E378" i="26"/>
  <c r="E379" i="26"/>
  <c r="E380" i="26"/>
  <c r="E362" i="26"/>
  <c r="E332" i="26"/>
  <c r="E326" i="26"/>
  <c r="E364" i="26"/>
  <c r="E363" i="26"/>
  <c r="E361" i="26"/>
  <c r="E328" i="26"/>
  <c r="E330" i="26"/>
  <c r="E334" i="26"/>
  <c r="E333" i="26"/>
  <c r="E331" i="26"/>
  <c r="E28" i="26"/>
  <c r="E27" i="26"/>
  <c r="E184" i="26"/>
  <c r="E182" i="26"/>
  <c r="E185" i="26"/>
  <c r="E183" i="26"/>
  <c r="E139" i="26"/>
  <c r="E140" i="26"/>
  <c r="E258" i="26"/>
  <c r="E88" i="26"/>
  <c r="E93" i="26"/>
  <c r="E87" i="26"/>
  <c r="E98" i="26"/>
  <c r="E92" i="26"/>
  <c r="E96" i="26"/>
  <c r="E90" i="26"/>
  <c r="E89" i="26"/>
  <c r="E94" i="26"/>
  <c r="E84" i="26"/>
  <c r="E97" i="26"/>
  <c r="E91" i="26"/>
  <c r="E95" i="26"/>
  <c r="E455" i="26"/>
  <c r="E457" i="26"/>
  <c r="E456" i="26"/>
  <c r="E454" i="26"/>
  <c r="E382" i="26"/>
  <c r="E369" i="26"/>
  <c r="E366" i="26"/>
  <c r="E371" i="26"/>
  <c r="E368" i="26"/>
  <c r="E370" i="26"/>
  <c r="E367" i="26"/>
  <c r="E417" i="26"/>
  <c r="E418" i="26"/>
  <c r="E365" i="26"/>
  <c r="E347" i="26"/>
  <c r="E343" i="26"/>
  <c r="E339" i="26"/>
  <c r="E352" i="26"/>
  <c r="E357" i="26"/>
  <c r="E350" i="26"/>
  <c r="E354" i="26"/>
  <c r="E359" i="26"/>
  <c r="E356" i="26"/>
  <c r="E349" i="26"/>
  <c r="E344" i="26"/>
  <c r="E340" i="26"/>
  <c r="E353" i="26"/>
  <c r="E346" i="26"/>
  <c r="E342" i="26"/>
  <c r="E338" i="26"/>
  <c r="E355" i="26"/>
  <c r="E348" i="26"/>
  <c r="E360" i="26"/>
  <c r="E358" i="26"/>
  <c r="E351" i="26"/>
  <c r="E345" i="26"/>
  <c r="E341" i="26"/>
  <c r="E337" i="26"/>
  <c r="E446" i="26"/>
  <c r="E447" i="26"/>
  <c r="E310" i="26"/>
  <c r="E444" i="26"/>
  <c r="E436" i="26"/>
  <c r="E435" i="26"/>
  <c r="E501" i="26"/>
  <c r="E503" i="26"/>
  <c r="E502" i="26"/>
  <c r="E500" i="26"/>
  <c r="E452" i="26"/>
  <c r="E453" i="26"/>
  <c r="E499" i="26"/>
  <c r="E498" i="26"/>
  <c r="E109" i="26"/>
  <c r="E110" i="26"/>
  <c r="E146" i="26"/>
  <c r="E155" i="26"/>
  <c r="E156" i="26"/>
  <c r="E145" i="26"/>
  <c r="E129" i="26"/>
  <c r="E124" i="26"/>
  <c r="E132" i="26"/>
  <c r="E119" i="26"/>
  <c r="E133" i="26"/>
  <c r="E120" i="26"/>
  <c r="E128" i="26"/>
  <c r="E123" i="26"/>
  <c r="E25" i="26"/>
  <c r="E26" i="26"/>
  <c r="E491" i="26"/>
  <c r="E276" i="26"/>
  <c r="E393" i="26"/>
  <c r="E392" i="26"/>
  <c r="E33" i="26"/>
  <c r="E41" i="26"/>
  <c r="E49" i="26"/>
  <c r="B40" i="25" s="1"/>
  <c r="E57" i="26"/>
  <c r="E65" i="26"/>
  <c r="E73" i="26"/>
  <c r="E81" i="26"/>
  <c r="E102" i="26"/>
  <c r="E112" i="26"/>
  <c r="E125" i="26"/>
  <c r="E137" i="26"/>
  <c r="E151" i="26"/>
  <c r="E161" i="26"/>
  <c r="E169" i="26"/>
  <c r="E177" i="26"/>
  <c r="E189" i="26"/>
  <c r="E197" i="26"/>
  <c r="E205" i="26"/>
  <c r="E213" i="26"/>
  <c r="E221" i="26"/>
  <c r="E229" i="26"/>
  <c r="E237" i="26"/>
  <c r="E245" i="26"/>
  <c r="E253" i="26"/>
  <c r="E262" i="26"/>
  <c r="E271" i="26"/>
  <c r="E280" i="26"/>
  <c r="E288" i="26"/>
  <c r="E296" i="26"/>
  <c r="E304" i="26"/>
  <c r="E313" i="26"/>
  <c r="E321" i="26"/>
  <c r="E336" i="26"/>
  <c r="E390" i="26"/>
  <c r="E400" i="26"/>
  <c r="E408" i="26"/>
  <c r="E416" i="26"/>
  <c r="E426" i="26"/>
  <c r="E434" i="26"/>
  <c r="E445" i="26"/>
  <c r="E463" i="26"/>
  <c r="E471" i="26"/>
  <c r="E479" i="26"/>
  <c r="E487" i="26"/>
  <c r="E496" i="26"/>
  <c r="E13" i="26"/>
  <c r="E21" i="26"/>
  <c r="E35" i="26"/>
  <c r="E43" i="26"/>
  <c r="E51" i="26"/>
  <c r="E59" i="26"/>
  <c r="E67" i="26"/>
  <c r="E75" i="26"/>
  <c r="E83" i="26"/>
  <c r="E104" i="26"/>
  <c r="E114" i="26"/>
  <c r="E127" i="26"/>
  <c r="E143" i="26"/>
  <c r="E153" i="26"/>
  <c r="E163" i="26"/>
  <c r="E171" i="26"/>
  <c r="E179" i="26"/>
  <c r="E191" i="26"/>
  <c r="E199" i="26"/>
  <c r="E207" i="26"/>
  <c r="E215" i="26"/>
  <c r="E223" i="26"/>
  <c r="E231" i="26"/>
  <c r="E239" i="26"/>
  <c r="E247" i="26"/>
  <c r="E255" i="26"/>
  <c r="E264" i="26"/>
  <c r="E273" i="26"/>
  <c r="E282" i="26"/>
  <c r="E290" i="26"/>
  <c r="E298" i="26"/>
  <c r="E306" i="26"/>
  <c r="E315" i="26"/>
  <c r="E323" i="26"/>
  <c r="E384" i="26"/>
  <c r="E394" i="26"/>
  <c r="E402" i="26"/>
  <c r="E410" i="26"/>
  <c r="E420" i="26"/>
  <c r="E428" i="26"/>
  <c r="E438" i="26"/>
  <c r="E449" i="26"/>
  <c r="E465" i="26"/>
  <c r="E473" i="26"/>
  <c r="E481" i="26"/>
  <c r="E489" i="26"/>
  <c r="E504" i="26"/>
  <c r="E15" i="26"/>
  <c r="E23" i="26"/>
  <c r="E36" i="26"/>
  <c r="E44" i="26"/>
  <c r="E52" i="26"/>
  <c r="E60" i="26"/>
  <c r="E68" i="26"/>
  <c r="E76" i="26"/>
  <c r="E85" i="26"/>
  <c r="E105" i="26"/>
  <c r="E116" i="26"/>
  <c r="E130" i="26"/>
  <c r="E144" i="26"/>
  <c r="E154" i="26"/>
  <c r="E164" i="26"/>
  <c r="E172" i="26"/>
  <c r="E180" i="26"/>
  <c r="E192" i="26"/>
  <c r="E200" i="26"/>
  <c r="E208" i="26"/>
  <c r="E216" i="26"/>
  <c r="E224" i="26"/>
  <c r="E232" i="26"/>
  <c r="E240" i="26"/>
  <c r="E248" i="26"/>
  <c r="E256" i="26"/>
  <c r="E265" i="26"/>
  <c r="E274" i="26"/>
  <c r="E283" i="26"/>
  <c r="E291" i="26"/>
  <c r="E29" i="26"/>
  <c r="E37" i="26"/>
  <c r="E45" i="26"/>
  <c r="E53" i="26"/>
  <c r="E61" i="26"/>
  <c r="E69" i="26"/>
  <c r="E77" i="26"/>
  <c r="E86" i="26"/>
  <c r="E106" i="26"/>
  <c r="E117" i="26"/>
  <c r="E131" i="26"/>
  <c r="E147" i="26"/>
  <c r="E157" i="26"/>
  <c r="E165" i="26"/>
  <c r="E173" i="26"/>
  <c r="E181" i="26"/>
  <c r="E193" i="26"/>
  <c r="E201" i="26"/>
  <c r="E209" i="26"/>
  <c r="E217" i="26"/>
  <c r="E225" i="26"/>
  <c r="E233" i="26"/>
  <c r="E241" i="26"/>
  <c r="E249" i="26"/>
  <c r="E257" i="26"/>
  <c r="E266" i="26"/>
  <c r="E275" i="26"/>
  <c r="E284" i="26"/>
  <c r="B13" i="25" s="1"/>
  <c r="E292" i="26"/>
  <c r="E300" i="26"/>
  <c r="E308" i="26"/>
  <c r="E317" i="26"/>
  <c r="E325" i="26"/>
  <c r="E386" i="26"/>
  <c r="E396" i="26"/>
  <c r="E404" i="26"/>
  <c r="E412" i="26"/>
  <c r="E422" i="26"/>
  <c r="E430" i="26"/>
  <c r="E440" i="26"/>
  <c r="E451" i="26"/>
  <c r="E467" i="26"/>
  <c r="E475" i="26"/>
  <c r="E483" i="26"/>
  <c r="E492" i="26"/>
  <c r="E17" i="26"/>
  <c r="E9" i="26"/>
  <c r="E42" i="26"/>
  <c r="E58" i="26"/>
  <c r="E74" i="26"/>
  <c r="E103" i="26"/>
  <c r="E126" i="26"/>
  <c r="E152" i="26"/>
  <c r="E170" i="26"/>
  <c r="E190" i="26"/>
  <c r="E206" i="26"/>
  <c r="E222" i="26"/>
  <c r="E238" i="26"/>
  <c r="E254" i="26"/>
  <c r="E272" i="26"/>
  <c r="E289" i="26"/>
  <c r="E303" i="26"/>
  <c r="E318" i="26"/>
  <c r="E383" i="26"/>
  <c r="E398" i="26"/>
  <c r="E411" i="26"/>
  <c r="E425" i="26"/>
  <c r="E441" i="26"/>
  <c r="E464" i="26"/>
  <c r="E477" i="26"/>
  <c r="E490" i="26"/>
  <c r="E10" i="26"/>
  <c r="E22" i="26"/>
  <c r="E194" i="26"/>
  <c r="E210" i="26"/>
  <c r="E242" i="26"/>
  <c r="E259" i="26"/>
  <c r="E277" i="26"/>
  <c r="E305" i="26"/>
  <c r="E319" i="26"/>
  <c r="E385" i="26"/>
  <c r="E413" i="26"/>
  <c r="E427" i="26"/>
  <c r="E442" i="26"/>
  <c r="E478" i="26"/>
  <c r="E493" i="26"/>
  <c r="E24" i="26"/>
  <c r="E82" i="26"/>
  <c r="E178" i="26"/>
  <c r="E214" i="26"/>
  <c r="E246" i="26"/>
  <c r="E281" i="26"/>
  <c r="E311" i="26"/>
  <c r="E405" i="26"/>
  <c r="E432" i="26"/>
  <c r="E470" i="26"/>
  <c r="E497" i="26"/>
  <c r="E460" i="26"/>
  <c r="E121" i="26"/>
  <c r="E423" i="26"/>
  <c r="E40" i="26"/>
  <c r="E72" i="26"/>
  <c r="E101" i="26"/>
  <c r="E150" i="26"/>
  <c r="E204" i="26"/>
  <c r="E252" i="26"/>
  <c r="E287" i="26"/>
  <c r="E316" i="26"/>
  <c r="E424" i="26"/>
  <c r="E462" i="26"/>
  <c r="E30" i="26"/>
  <c r="E46" i="26"/>
  <c r="E62" i="26"/>
  <c r="E78" i="26"/>
  <c r="E107" i="26"/>
  <c r="E134" i="26"/>
  <c r="E158" i="26"/>
  <c r="E174" i="26"/>
  <c r="E226" i="26"/>
  <c r="E293" i="26"/>
  <c r="E399" i="26"/>
  <c r="E466" i="26"/>
  <c r="E11" i="26"/>
  <c r="E32" i="26"/>
  <c r="E48" i="26"/>
  <c r="B38" i="25" s="1"/>
  <c r="E64" i="26"/>
  <c r="E80" i="26"/>
  <c r="E111" i="26"/>
  <c r="E136" i="26"/>
  <c r="E160" i="26"/>
  <c r="E176" i="26"/>
  <c r="E196" i="26"/>
  <c r="E212" i="26"/>
  <c r="E228" i="26"/>
  <c r="E244" i="26"/>
  <c r="E261" i="26"/>
  <c r="E279" i="26"/>
  <c r="E295" i="26"/>
  <c r="E309" i="26"/>
  <c r="E322" i="26"/>
  <c r="E388" i="26"/>
  <c r="E403" i="26"/>
  <c r="E415" i="26"/>
  <c r="E431" i="26"/>
  <c r="E448" i="26"/>
  <c r="E469" i="26"/>
  <c r="E482" i="26"/>
  <c r="E495" i="26"/>
  <c r="E14" i="26"/>
  <c r="E187" i="26"/>
  <c r="E395" i="26"/>
  <c r="E486" i="26"/>
  <c r="E220" i="26"/>
  <c r="E335" i="26"/>
  <c r="E476" i="26"/>
  <c r="E31" i="26"/>
  <c r="E47" i="26"/>
  <c r="E63" i="26"/>
  <c r="E79" i="26"/>
  <c r="E108" i="26"/>
  <c r="E135" i="26"/>
  <c r="E159" i="26"/>
  <c r="E175" i="26"/>
  <c r="E195" i="26"/>
  <c r="E211" i="26"/>
  <c r="E227" i="26"/>
  <c r="E243" i="26"/>
  <c r="E260" i="26"/>
  <c r="E278" i="26"/>
  <c r="E294" i="26"/>
  <c r="E307" i="26"/>
  <c r="E320" i="26"/>
  <c r="E387" i="26"/>
  <c r="E401" i="26"/>
  <c r="E414" i="26"/>
  <c r="E429" i="26"/>
  <c r="E443" i="26"/>
  <c r="E468" i="26"/>
  <c r="E480" i="26"/>
  <c r="E494" i="26"/>
  <c r="E12" i="26"/>
  <c r="E472" i="26"/>
  <c r="E286" i="26"/>
  <c r="E168" i="26"/>
  <c r="E409" i="26"/>
  <c r="E389" i="26"/>
  <c r="E71" i="26"/>
  <c r="E329" i="26"/>
  <c r="E461" i="26"/>
  <c r="E34" i="26"/>
  <c r="E50" i="26"/>
  <c r="E66" i="26"/>
  <c r="E113" i="26"/>
  <c r="E138" i="26"/>
  <c r="E162" i="26"/>
  <c r="E198" i="26"/>
  <c r="E230" i="26"/>
  <c r="E263" i="26"/>
  <c r="E297" i="26"/>
  <c r="E324" i="26"/>
  <c r="E419" i="26"/>
  <c r="E450" i="26"/>
  <c r="E484" i="26"/>
  <c r="E16" i="26"/>
  <c r="E38" i="26"/>
  <c r="E54" i="26"/>
  <c r="E70" i="26"/>
  <c r="E99" i="26"/>
  <c r="E118" i="26"/>
  <c r="E148" i="26"/>
  <c r="E166" i="26"/>
  <c r="E202" i="26"/>
  <c r="E218" i="26"/>
  <c r="E234" i="26"/>
  <c r="E250" i="26"/>
  <c r="E267" i="26"/>
  <c r="E285" i="26"/>
  <c r="E299" i="26"/>
  <c r="E312" i="26"/>
  <c r="E327" i="26"/>
  <c r="E391" i="26"/>
  <c r="E406" i="26"/>
  <c r="E421" i="26"/>
  <c r="E433" i="26"/>
  <c r="E485" i="26"/>
  <c r="E18" i="26"/>
  <c r="E39" i="26"/>
  <c r="E55" i="26"/>
  <c r="E100" i="26"/>
  <c r="E149" i="26"/>
  <c r="E167" i="26"/>
  <c r="E203" i="26"/>
  <c r="E219" i="26"/>
  <c r="E235" i="26"/>
  <c r="E251" i="26"/>
  <c r="E268" i="26"/>
  <c r="E301" i="26"/>
  <c r="E314" i="26"/>
  <c r="E407" i="26"/>
  <c r="E437" i="26"/>
  <c r="E474" i="26"/>
  <c r="E19" i="26"/>
  <c r="E56" i="26"/>
  <c r="E122" i="26"/>
  <c r="E188" i="26"/>
  <c r="E236" i="26"/>
  <c r="E270" i="26"/>
  <c r="E302" i="26"/>
  <c r="E397" i="26"/>
  <c r="E439" i="26"/>
  <c r="E488" i="26"/>
  <c r="E20" i="26"/>
  <c r="B31" i="25" s="1"/>
  <c r="G15" i="9"/>
  <c r="H15" i="9" s="1"/>
  <c r="I15" i="9" s="1"/>
  <c r="J15" i="9" s="1"/>
  <c r="K15" i="9" s="1"/>
  <c r="L15" i="9" s="1"/>
  <c r="M15" i="9" s="1"/>
  <c r="N15" i="9" s="1"/>
  <c r="B29" i="25" l="1"/>
  <c r="B28" i="25"/>
  <c r="B33" i="25"/>
  <c r="B32" i="25"/>
  <c r="B41" i="25"/>
  <c r="B15" i="25"/>
  <c r="B30" i="25"/>
  <c r="B39" i="25"/>
  <c r="B12" i="25"/>
  <c r="B16" i="25"/>
  <c r="B42" i="25"/>
  <c r="B14" i="25"/>
  <c r="C36" i="8"/>
  <c r="D38" i="8" l="1"/>
  <c r="D42" i="8"/>
  <c r="D46" i="8"/>
  <c r="D39" i="8"/>
  <c r="D43" i="8"/>
  <c r="D47" i="8"/>
  <c r="D37" i="8"/>
  <c r="D40" i="8"/>
  <c r="D44" i="8"/>
  <c r="D48" i="8"/>
  <c r="D41" i="8"/>
  <c r="D45" i="8"/>
  <c r="D49" i="8"/>
  <c r="D50" i="8"/>
  <c r="D28" i="8"/>
  <c r="D26" i="8"/>
  <c r="D25" i="8"/>
  <c r="D27" i="8"/>
  <c r="D13" i="8"/>
  <c r="D21" i="8"/>
  <c r="D31" i="8"/>
  <c r="D12" i="8"/>
  <c r="D16" i="8"/>
  <c r="D18" i="8"/>
  <c r="D20" i="8"/>
  <c r="D24" i="8"/>
  <c r="D30" i="8"/>
  <c r="D34" i="8"/>
  <c r="D14" i="8"/>
  <c r="D22" i="8"/>
  <c r="D32" i="8"/>
  <c r="D15" i="8"/>
  <c r="D17" i="8"/>
  <c r="D19" i="8"/>
  <c r="D23" i="8"/>
  <c r="D29" i="8"/>
  <c r="D33" i="8"/>
  <c r="C52" i="8"/>
  <c r="E28" i="8" l="1"/>
  <c r="E26" i="8"/>
  <c r="E27" i="8"/>
  <c r="E25" i="8"/>
  <c r="E38" i="8"/>
  <c r="E40" i="8"/>
  <c r="E42" i="8"/>
  <c r="E44" i="8"/>
  <c r="E46" i="8"/>
  <c r="E48" i="8"/>
  <c r="E50" i="8"/>
  <c r="E13" i="8"/>
  <c r="E15" i="8"/>
  <c r="E17" i="8"/>
  <c r="E19" i="8"/>
  <c r="E21" i="8"/>
  <c r="E23" i="8"/>
  <c r="E29" i="8"/>
  <c r="E31" i="8"/>
  <c r="E33" i="8"/>
  <c r="E39" i="8"/>
  <c r="E41" i="8"/>
  <c r="E43" i="8"/>
  <c r="E45" i="8"/>
  <c r="E47" i="8"/>
  <c r="E49" i="8"/>
  <c r="E37" i="8"/>
  <c r="E14" i="8"/>
  <c r="E16" i="8"/>
  <c r="E18" i="8"/>
  <c r="E20" i="8"/>
  <c r="E22" i="8"/>
  <c r="E24" i="8"/>
  <c r="E30" i="8"/>
  <c r="E32" i="8"/>
  <c r="E34" i="8"/>
  <c r="E12" i="8"/>
  <c r="D11" i="8"/>
  <c r="E52" i="8" l="1"/>
  <c r="D36" i="8" l="1"/>
  <c r="C6" i="25" l="1"/>
  <c r="E10" i="31" l="1"/>
  <c r="F10" i="31" s="1"/>
  <c r="E10" i="29"/>
  <c r="F10" i="29" s="1"/>
  <c r="E10" i="27"/>
  <c r="F10" i="27" s="1"/>
  <c r="F42" i="2" l="1"/>
  <c r="F41" i="2"/>
  <c r="F39" i="2"/>
  <c r="F38" i="2"/>
  <c r="G38" i="2"/>
  <c r="G41" i="2"/>
  <c r="G39" i="2"/>
  <c r="G42" i="2"/>
  <c r="E24" i="18" l="1"/>
  <c r="F24" i="18" s="1"/>
  <c r="E21" i="18"/>
  <c r="F21" i="18" s="1"/>
  <c r="E23" i="18"/>
  <c r="F23" i="18" s="1"/>
  <c r="E20" i="18"/>
  <c r="F20" i="18" s="1"/>
  <c r="H42" i="2"/>
  <c r="H39" i="2"/>
  <c r="H41" i="2"/>
  <c r="H38" i="2"/>
  <c r="F43" i="2" l="1"/>
  <c r="G43" i="2"/>
  <c r="E25" i="18" l="1"/>
  <c r="F25" i="18" s="1"/>
  <c r="H43" i="2"/>
  <c r="F44" i="2"/>
  <c r="G44" i="2"/>
  <c r="E26" i="18" l="1"/>
  <c r="F26" i="18" s="1"/>
  <c r="H44" i="2"/>
  <c r="F45" i="2"/>
  <c r="G45" i="2"/>
  <c r="E27" i="18" l="1"/>
  <c r="F27" i="18" s="1"/>
  <c r="H45" i="2"/>
  <c r="F46" i="2"/>
  <c r="G46" i="2"/>
  <c r="F58" i="2" l="1"/>
  <c r="E28" i="18"/>
  <c r="F28" i="18" s="1"/>
  <c r="H46" i="2"/>
  <c r="F47" i="2"/>
  <c r="F48" i="2"/>
  <c r="F49" i="2"/>
  <c r="F50" i="2"/>
  <c r="F51" i="2"/>
  <c r="F53" i="2"/>
  <c r="F54" i="2"/>
  <c r="F55" i="2"/>
  <c r="F57" i="2"/>
  <c r="G58" i="2"/>
  <c r="G49" i="2"/>
  <c r="G55" i="2"/>
  <c r="G47" i="2"/>
  <c r="G51" i="2"/>
  <c r="G50" i="2"/>
  <c r="G54" i="2"/>
  <c r="G48" i="2"/>
  <c r="G53" i="2"/>
  <c r="G57" i="2"/>
  <c r="E31" i="18" l="1"/>
  <c r="F31" i="18" s="1"/>
  <c r="E32" i="18"/>
  <c r="F32" i="18" s="1"/>
  <c r="E29" i="18"/>
  <c r="F29" i="18" s="1"/>
  <c r="E30" i="18"/>
  <c r="F30" i="18" s="1"/>
  <c r="H55" i="2"/>
  <c r="H47" i="2"/>
  <c r="H50" i="2"/>
  <c r="H57" i="2"/>
  <c r="H51" i="2"/>
  <c r="H58" i="2"/>
  <c r="H53" i="2"/>
  <c r="H48" i="2"/>
  <c r="H49" i="2"/>
  <c r="H54" i="2"/>
  <c r="E24" i="19"/>
  <c r="F24" i="19" s="1"/>
  <c r="E27" i="19"/>
  <c r="F27" i="19" s="1"/>
  <c r="E31" i="19"/>
  <c r="F31" i="19" s="1"/>
  <c r="E30" i="19" l="1"/>
  <c r="F30" i="19" s="1"/>
  <c r="E29" i="19"/>
  <c r="F29" i="19" s="1"/>
  <c r="E23" i="19"/>
  <c r="F23" i="19" s="1"/>
  <c r="E26" i="19"/>
  <c r="F26" i="19" s="1"/>
  <c r="E25" i="19"/>
  <c r="F25" i="19" s="1"/>
  <c r="E28" i="19"/>
  <c r="F28" i="19" s="1"/>
  <c r="E20" i="19"/>
  <c r="F20" i="19" s="1"/>
  <c r="E21" i="19"/>
  <c r="F21" i="19" s="1"/>
  <c r="E37" i="19"/>
  <c r="F37" i="19" s="1"/>
  <c r="F60" i="2" l="1"/>
  <c r="G60" i="2"/>
  <c r="H60" i="2" l="1"/>
  <c r="E41" i="19"/>
  <c r="F41" i="19" s="1"/>
  <c r="F61" i="2" l="1"/>
  <c r="G61" i="2"/>
  <c r="E42" i="18" l="1"/>
  <c r="F42" i="18" s="1"/>
  <c r="H61" i="2"/>
  <c r="E42" i="19"/>
  <c r="F42" i="19" s="1"/>
  <c r="F62" i="2" l="1"/>
  <c r="F56" i="2"/>
  <c r="G56" i="2"/>
  <c r="G62" i="2"/>
  <c r="E43" i="18" l="1"/>
  <c r="F43" i="18" s="1"/>
  <c r="H62" i="2"/>
  <c r="E38" i="18"/>
  <c r="F38" i="18" s="1"/>
  <c r="E39" i="18"/>
  <c r="F39" i="18" s="1"/>
  <c r="E38" i="19"/>
  <c r="F38" i="19" s="1"/>
  <c r="H56" i="2"/>
  <c r="F63" i="2" l="1"/>
  <c r="F52" i="2"/>
  <c r="G52" i="2"/>
  <c r="G63" i="2"/>
  <c r="H63" i="2" l="1"/>
  <c r="E44" i="18"/>
  <c r="F44" i="18" s="1"/>
  <c r="E35" i="18"/>
  <c r="F35" i="18" s="1"/>
  <c r="E34" i="19"/>
  <c r="F34" i="19" s="1"/>
  <c r="E34" i="18"/>
  <c r="H52" i="2"/>
  <c r="E33" i="19"/>
  <c r="F33" i="19" s="1"/>
  <c r="F59" i="2" l="1"/>
  <c r="F34" i="18"/>
  <c r="G59" i="2"/>
  <c r="E41" i="18" l="1"/>
  <c r="F41" i="18" s="1"/>
  <c r="E40" i="19"/>
  <c r="F40" i="19" s="1"/>
  <c r="H59" i="2"/>
  <c r="E40" i="18" l="1"/>
  <c r="F40" i="18" s="1"/>
  <c r="E39" i="19"/>
  <c r="F39" i="19" s="1"/>
  <c r="E43" i="19" l="1"/>
  <c r="F43" i="19" s="1"/>
  <c r="F93" i="2" l="1"/>
  <c r="F94" i="2"/>
  <c r="F71" i="2"/>
  <c r="F68" i="2"/>
  <c r="F65" i="2"/>
  <c r="F70" i="2"/>
  <c r="F64" i="2"/>
  <c r="F69" i="2"/>
  <c r="F66" i="2"/>
  <c r="F67" i="2"/>
  <c r="F73" i="2"/>
  <c r="F72" i="2"/>
  <c r="G71" i="2"/>
  <c r="G69" i="2"/>
  <c r="G66" i="2"/>
  <c r="G70" i="2"/>
  <c r="G68" i="2"/>
  <c r="G94" i="2"/>
  <c r="G64" i="2"/>
  <c r="G67" i="2"/>
  <c r="G73" i="2"/>
  <c r="G72" i="2"/>
  <c r="G65" i="2"/>
  <c r="G93" i="2"/>
  <c r="H93" i="2" l="1"/>
  <c r="H70" i="2"/>
  <c r="H72" i="2"/>
  <c r="E53" i="19"/>
  <c r="F53" i="19" s="1"/>
  <c r="F96" i="2"/>
  <c r="H66" i="2"/>
  <c r="E47" i="18"/>
  <c r="F47" i="18" s="1"/>
  <c r="H71" i="2"/>
  <c r="E48" i="18"/>
  <c r="F48" i="18" s="1"/>
  <c r="H68" i="2"/>
  <c r="E48" i="19"/>
  <c r="F48" i="19" s="1"/>
  <c r="E52" i="18"/>
  <c r="F52" i="18" s="1"/>
  <c r="H73" i="2"/>
  <c r="E50" i="18"/>
  <c r="F50" i="18" s="1"/>
  <c r="E50" i="19"/>
  <c r="F50" i="19" s="1"/>
  <c r="H67" i="2"/>
  <c r="E47" i="19"/>
  <c r="F47" i="19" s="1"/>
  <c r="E46" i="18"/>
  <c r="F46" i="18" s="1"/>
  <c r="H65" i="2"/>
  <c r="E46" i="19"/>
  <c r="F46" i="19" s="1"/>
  <c r="H94" i="2"/>
  <c r="H64" i="2"/>
  <c r="E45" i="18"/>
  <c r="F45" i="18" s="1"/>
  <c r="E45" i="19"/>
  <c r="F45" i="19" s="1"/>
  <c r="E51" i="18"/>
  <c r="F51" i="18" s="1"/>
  <c r="E51" i="19"/>
  <c r="F51" i="19" s="1"/>
  <c r="E49" i="18"/>
  <c r="F49" i="18" s="1"/>
  <c r="H69" i="2"/>
  <c r="E49" i="19"/>
  <c r="F49" i="19" s="1"/>
  <c r="G96" i="2"/>
  <c r="H96" i="2" l="1"/>
  <c r="F97" i="2" l="1"/>
  <c r="G97" i="2"/>
  <c r="H97" i="2" l="1"/>
  <c r="F29" i="2" l="1"/>
  <c r="F30" i="2"/>
  <c r="F31" i="2"/>
  <c r="F32" i="2"/>
  <c r="F33" i="2"/>
  <c r="F34" i="2"/>
  <c r="F35" i="2"/>
  <c r="F36" i="2"/>
  <c r="F37" i="2"/>
  <c r="F40" i="2"/>
  <c r="G37" i="2"/>
  <c r="G34" i="2"/>
  <c r="G29" i="2"/>
  <c r="G35" i="2"/>
  <c r="G36" i="2"/>
  <c r="G32" i="2"/>
  <c r="G33" i="2"/>
  <c r="G30" i="2"/>
  <c r="G40" i="2"/>
  <c r="G31" i="2"/>
  <c r="H29" i="2" l="1"/>
  <c r="H32" i="2"/>
  <c r="H40" i="2"/>
  <c r="H33" i="2"/>
  <c r="H36" i="2"/>
  <c r="H34" i="2"/>
  <c r="H37" i="2"/>
  <c r="H35" i="2"/>
  <c r="H30" i="2"/>
  <c r="H31" i="2"/>
  <c r="E53" i="18"/>
  <c r="F53" i="18" s="1"/>
  <c r="E52" i="19"/>
  <c r="F52" i="19" s="1"/>
  <c r="E44" i="19"/>
  <c r="F44" i="19" s="1"/>
  <c r="E36" i="19"/>
  <c r="F36" i="19" s="1"/>
  <c r="E37" i="18"/>
  <c r="F37" i="18" s="1"/>
  <c r="E36" i="18"/>
  <c r="F36" i="18" s="1"/>
  <c r="E35" i="19"/>
  <c r="F35" i="19" s="1"/>
  <c r="E33" i="18"/>
  <c r="F33" i="18" s="1"/>
  <c r="E32" i="19"/>
  <c r="F32" i="19" s="1"/>
  <c r="E11" i="19"/>
  <c r="F11" i="19" s="1"/>
  <c r="E12" i="19"/>
  <c r="F12" i="19" s="1"/>
  <c r="E13" i="19"/>
  <c r="F13" i="19" s="1"/>
  <c r="E14" i="19"/>
  <c r="F14" i="19" s="1"/>
  <c r="E15" i="19"/>
  <c r="F15" i="19" s="1"/>
  <c r="E16" i="19"/>
  <c r="F16" i="19" s="1"/>
  <c r="E17" i="19"/>
  <c r="F17" i="19" s="1"/>
  <c r="E18" i="19"/>
  <c r="F18" i="19" s="1"/>
  <c r="E19" i="19"/>
  <c r="F19" i="19" s="1"/>
  <c r="E22" i="19"/>
  <c r="F22" i="19" s="1"/>
  <c r="E11" i="18"/>
  <c r="F11" i="18" s="1"/>
  <c r="E12" i="18"/>
  <c r="F12" i="18" s="1"/>
  <c r="E13" i="18"/>
  <c r="F13" i="18" s="1"/>
  <c r="E14" i="18"/>
  <c r="F14" i="18" s="1"/>
  <c r="E15" i="18"/>
  <c r="F15" i="18" s="1"/>
  <c r="E16" i="18"/>
  <c r="F16" i="18" s="1"/>
  <c r="E17" i="18"/>
  <c r="F17" i="18" s="1"/>
  <c r="E18" i="18"/>
  <c r="F18" i="18" s="1"/>
  <c r="E19" i="18"/>
  <c r="F19" i="18" s="1"/>
  <c r="E22" i="18"/>
  <c r="F22" i="18" s="1"/>
  <c r="H75" i="2" l="1"/>
  <c r="H86" i="2" s="1"/>
  <c r="F65" i="19"/>
  <c r="H17" i="2" s="1"/>
  <c r="F65" i="18"/>
  <c r="H16" i="2" s="1"/>
  <c r="F56" i="19" l="1"/>
  <c r="F56" i="18"/>
  <c r="H77" i="2"/>
  <c r="F75" i="2" s="1"/>
  <c r="H78" i="2" l="1"/>
  <c r="H79" i="2" s="1"/>
  <c r="H81" i="2" s="1"/>
  <c r="H80" i="2" l="1"/>
  <c r="H82" i="2" s="1"/>
  <c r="H84" i="2" s="1"/>
  <c r="F91" i="2"/>
  <c r="F101" i="2"/>
  <c r="F102" i="2"/>
  <c r="H27" i="28" s="1"/>
  <c r="G102" i="2"/>
  <c r="G101" i="2"/>
  <c r="G91" i="2"/>
  <c r="H102" i="2" l="1"/>
  <c r="H83" i="2"/>
  <c r="H91" i="2"/>
  <c r="H101" i="2"/>
  <c r="F103" i="2"/>
  <c r="H29" i="28" s="1"/>
  <c r="G103" i="2"/>
  <c r="H103" i="2" l="1"/>
  <c r="F104" i="2"/>
  <c r="H31" i="28" s="1"/>
  <c r="G104" i="2"/>
  <c r="H104" i="2" l="1"/>
  <c r="F105" i="2"/>
  <c r="F106" i="2"/>
  <c r="G105" i="2"/>
  <c r="G106" i="2"/>
  <c r="H105" i="2" l="1"/>
  <c r="H106" i="2"/>
  <c r="F107" i="2"/>
  <c r="G107" i="2"/>
  <c r="H107" i="2" l="1"/>
  <c r="F108" i="2"/>
  <c r="G108" i="2"/>
  <c r="H108" i="2" l="1"/>
  <c r="F109" i="2"/>
  <c r="F110" i="2"/>
  <c r="F111" i="2"/>
  <c r="G111" i="2"/>
  <c r="G110" i="2"/>
  <c r="G109" i="2"/>
  <c r="H33" i="28" l="1"/>
  <c r="H109" i="2"/>
  <c r="H110" i="2"/>
  <c r="H111" i="2"/>
  <c r="F112" i="2"/>
  <c r="G112" i="2"/>
  <c r="H112" i="2" l="1"/>
  <c r="F113" i="2"/>
  <c r="G113" i="2"/>
  <c r="H113" i="2" l="1"/>
  <c r="F114" i="2"/>
  <c r="G114" i="2"/>
  <c r="H114" i="2" l="1"/>
  <c r="F115" i="2"/>
  <c r="F116" i="2"/>
  <c r="F117" i="2"/>
  <c r="H37" i="28" s="1"/>
  <c r="G116" i="2"/>
  <c r="G115" i="2"/>
  <c r="G117" i="2"/>
  <c r="H35" i="28" l="1"/>
  <c r="H115" i="2"/>
  <c r="H116" i="2"/>
  <c r="H117" i="2"/>
  <c r="F118" i="2"/>
  <c r="G118" i="2"/>
  <c r="H118" i="2" l="1"/>
  <c r="F119" i="2"/>
  <c r="H43" i="28" s="1"/>
  <c r="G119" i="2"/>
  <c r="H119" i="2" l="1"/>
  <c r="B78" i="9"/>
  <c r="B52" i="9"/>
  <c r="B79" i="9"/>
  <c r="B61" i="9"/>
  <c r="B46" i="9"/>
  <c r="B27" i="9"/>
  <c r="B21" i="9"/>
  <c r="B22" i="9"/>
  <c r="B57" i="9"/>
  <c r="B44" i="9"/>
  <c r="B69" i="9"/>
  <c r="B54" i="9"/>
  <c r="B28" i="9"/>
  <c r="B53" i="9"/>
  <c r="B65" i="9"/>
  <c r="B56" i="9"/>
  <c r="B87" i="9"/>
  <c r="B59" i="9"/>
  <c r="B34" i="9"/>
  <c r="B80" i="9"/>
  <c r="B91" i="9"/>
  <c r="B68" i="9"/>
  <c r="B67" i="9"/>
  <c r="B41" i="9"/>
  <c r="B60" i="9"/>
  <c r="B45" i="9"/>
  <c r="B33" i="9"/>
  <c r="B31" i="9"/>
  <c r="B35" i="9"/>
  <c r="B29" i="9"/>
  <c r="B81" i="9"/>
  <c r="B55" i="9"/>
  <c r="B51" i="9"/>
  <c r="B63" i="9"/>
  <c r="B43" i="9"/>
  <c r="B88" i="9"/>
  <c r="B89" i="9"/>
  <c r="B50" i="9"/>
  <c r="B47" i="9"/>
  <c r="B37" i="9"/>
  <c r="B42" i="9"/>
  <c r="B62" i="9"/>
  <c r="B30" i="9"/>
  <c r="B26" i="9"/>
  <c r="B49" i="9"/>
  <c r="B58" i="9"/>
  <c r="B82" i="9"/>
  <c r="B20" i="9"/>
  <c r="B64" i="9"/>
  <c r="B36" i="9"/>
  <c r="B24" i="9"/>
  <c r="B19" i="9"/>
  <c r="B38" i="9"/>
  <c r="B25" i="9"/>
  <c r="B40" i="9"/>
  <c r="B32" i="9"/>
  <c r="B23" i="9"/>
  <c r="B48" i="9"/>
  <c r="B77" i="9"/>
  <c r="B39" i="9"/>
  <c r="B66" i="9"/>
  <c r="B18" i="9"/>
  <c r="B76" i="9"/>
  <c r="B85" i="9"/>
  <c r="B72" i="9"/>
  <c r="B84" i="9"/>
  <c r="B70" i="9"/>
  <c r="B86" i="9"/>
  <c r="B73" i="9"/>
  <c r="B83" i="9"/>
  <c r="B71" i="9"/>
  <c r="B74" i="9"/>
  <c r="B75" i="9"/>
  <c r="E15" i="22"/>
  <c r="F15" i="22" s="1"/>
  <c r="E13" i="22"/>
  <c r="F13" i="22" s="1"/>
  <c r="E12" i="22"/>
  <c r="F12" i="22" s="1"/>
  <c r="E16" i="22"/>
  <c r="F16" i="22" s="1"/>
  <c r="E20" i="22"/>
  <c r="F20" i="22" s="1"/>
  <c r="E21" i="22"/>
  <c r="F21" i="22" s="1"/>
  <c r="E22" i="22"/>
  <c r="F22" i="22" s="1"/>
  <c r="E23" i="22"/>
  <c r="F23" i="22" s="1"/>
  <c r="E24" i="22"/>
  <c r="F24" i="22" s="1"/>
  <c r="E25" i="22"/>
  <c r="F25" i="22" s="1"/>
  <c r="E26" i="22"/>
  <c r="F26" i="22" s="1"/>
  <c r="E27" i="22"/>
  <c r="F27" i="22" s="1"/>
  <c r="E28" i="22"/>
  <c r="F28" i="22" s="1"/>
  <c r="E29" i="22"/>
  <c r="F29" i="22" s="1"/>
  <c r="E30" i="22"/>
  <c r="F30" i="22" s="1"/>
  <c r="E31" i="22"/>
  <c r="F31" i="22" s="1"/>
  <c r="E32" i="22"/>
  <c r="F32" i="22" s="1"/>
  <c r="E33" i="22"/>
  <c r="F33" i="22" s="1"/>
  <c r="E34" i="22"/>
  <c r="F34" i="22" s="1"/>
  <c r="E35" i="22"/>
  <c r="F35" i="22" s="1"/>
  <c r="E36" i="22"/>
  <c r="F36" i="22" s="1"/>
  <c r="F95" i="2" l="1"/>
  <c r="G95" i="2"/>
  <c r="H95" i="2" l="1"/>
  <c r="E14" i="22"/>
  <c r="F14" i="22" s="1"/>
  <c r="F57" i="18"/>
  <c r="F58" i="18" s="1"/>
  <c r="F18" i="28" l="1"/>
  <c r="J18" i="28" s="1"/>
  <c r="F16" i="28"/>
  <c r="J16" i="28" s="1"/>
  <c r="F57" i="19"/>
  <c r="F58" i="19" s="1"/>
  <c r="F59" i="19" s="1"/>
  <c r="F59" i="18"/>
  <c r="F60" i="18"/>
  <c r="J20" i="28" l="1"/>
  <c r="J48" i="28" s="1"/>
  <c r="F61" i="18"/>
  <c r="F60" i="19"/>
  <c r="F62" i="18" l="1"/>
  <c r="F63" i="18"/>
  <c r="J50" i="28"/>
  <c r="J51" i="28" s="1"/>
  <c r="J53" i="28"/>
  <c r="F61" i="19"/>
  <c r="F62" i="19" s="1"/>
  <c r="J54" i="28" l="1"/>
  <c r="F63" i="19"/>
  <c r="J57" i="28" l="1"/>
  <c r="J58" i="28"/>
  <c r="J68" i="28" l="1"/>
  <c r="F98" i="2"/>
  <c r="G98" i="2"/>
  <c r="H98" i="2" l="1"/>
  <c r="F99" i="2"/>
  <c r="G99" i="2"/>
  <c r="H99" i="2" l="1"/>
  <c r="F100" i="2"/>
  <c r="G100" i="2"/>
  <c r="H100" i="2" l="1"/>
  <c r="B90" i="9" l="1"/>
  <c r="E38" i="22"/>
  <c r="F38" i="22" s="1"/>
  <c r="E17" i="22"/>
  <c r="F17" i="22" s="1"/>
  <c r="E18" i="22"/>
  <c r="F18" i="22" s="1"/>
  <c r="E19" i="22"/>
  <c r="F19" i="22" s="1"/>
  <c r="F92" i="2"/>
  <c r="G92" i="2"/>
  <c r="H92" i="2" l="1"/>
  <c r="E11" i="22"/>
  <c r="F11" i="22" s="1"/>
  <c r="F51" i="22" s="1"/>
  <c r="F42" i="22" s="1"/>
  <c r="H25" i="28"/>
  <c r="H39" i="28" s="1"/>
  <c r="H45" i="28" s="1"/>
  <c r="H121" i="2" l="1"/>
  <c r="H132" i="2" s="1"/>
  <c r="H48" i="28"/>
  <c r="F43" i="22"/>
  <c r="F44" i="22" s="1"/>
  <c r="F46" i="22" s="1"/>
  <c r="H50" i="28" l="1"/>
  <c r="H51" i="28" s="1"/>
  <c r="H53" i="28"/>
  <c r="H123" i="2"/>
  <c r="F121" i="2" s="1"/>
  <c r="F45" i="22"/>
  <c r="F47" i="22" s="1"/>
  <c r="F48" i="22" s="1"/>
  <c r="H54" i="28" l="1"/>
  <c r="H134" i="2"/>
  <c r="H124" i="2"/>
  <c r="H125" i="2" s="1"/>
  <c r="H127" i="2" s="1"/>
  <c r="F49" i="22"/>
  <c r="A136" i="2"/>
  <c r="I91" i="2" l="1"/>
  <c r="I94" i="2"/>
  <c r="D66" i="9" s="1"/>
  <c r="I93" i="2"/>
  <c r="D65" i="9" s="1"/>
  <c r="I96" i="2"/>
  <c r="D68" i="9" s="1"/>
  <c r="I97" i="2"/>
  <c r="D69" i="9" s="1"/>
  <c r="I101" i="2"/>
  <c r="D73" i="9" s="1"/>
  <c r="I102" i="2"/>
  <c r="D74" i="9" s="1"/>
  <c r="I103" i="2"/>
  <c r="I104" i="2"/>
  <c r="D76" i="9" s="1"/>
  <c r="I106" i="2"/>
  <c r="D78" i="9" s="1"/>
  <c r="I105" i="2"/>
  <c r="D77" i="9" s="1"/>
  <c r="I107" i="2"/>
  <c r="D79" i="9" s="1"/>
  <c r="I108" i="2"/>
  <c r="D80" i="9" s="1"/>
  <c r="I110" i="2"/>
  <c r="D82" i="9" s="1"/>
  <c r="I111" i="2"/>
  <c r="D83" i="9" s="1"/>
  <c r="I109" i="2"/>
  <c r="I112" i="2"/>
  <c r="D84" i="9" s="1"/>
  <c r="I113" i="2"/>
  <c r="D85" i="9" s="1"/>
  <c r="I114" i="2"/>
  <c r="D86" i="9" s="1"/>
  <c r="I117" i="2"/>
  <c r="D89" i="9" s="1"/>
  <c r="I116" i="2"/>
  <c r="D88" i="9" s="1"/>
  <c r="I115" i="2"/>
  <c r="D87" i="9" s="1"/>
  <c r="I118" i="2"/>
  <c r="D90" i="9" s="1"/>
  <c r="I119" i="2"/>
  <c r="I95" i="2"/>
  <c r="D67" i="9" s="1"/>
  <c r="I98" i="2"/>
  <c r="D70" i="9" s="1"/>
  <c r="I99" i="2"/>
  <c r="D71" i="9" s="1"/>
  <c r="I100" i="2"/>
  <c r="D72" i="9" s="1"/>
  <c r="I92" i="2"/>
  <c r="I72" i="2"/>
  <c r="D61" i="9" s="1"/>
  <c r="H61" i="28"/>
  <c r="D91" i="9"/>
  <c r="H60" i="28"/>
  <c r="D64" i="9"/>
  <c r="C11" i="2"/>
  <c r="B11" i="28" s="1"/>
  <c r="I31" i="2"/>
  <c r="D20" i="9" s="1"/>
  <c r="I58" i="2"/>
  <c r="D47" i="9" s="1"/>
  <c r="I57" i="2"/>
  <c r="D46" i="9" s="1"/>
  <c r="I50" i="2"/>
  <c r="D39" i="9" s="1"/>
  <c r="I35" i="2"/>
  <c r="D24" i="9" s="1"/>
  <c r="I51" i="2"/>
  <c r="D40" i="9" s="1"/>
  <c r="I62" i="2"/>
  <c r="D51" i="9" s="1"/>
  <c r="I37" i="2"/>
  <c r="D26" i="9" s="1"/>
  <c r="D81" i="9"/>
  <c r="C9" i="9"/>
  <c r="E96" i="9"/>
  <c r="E97" i="9" s="1"/>
  <c r="I39" i="2"/>
  <c r="D28" i="9" s="1"/>
  <c r="I33" i="2"/>
  <c r="D22" i="9" s="1"/>
  <c r="I73" i="2"/>
  <c r="D62" i="9" s="1"/>
  <c r="I43" i="2"/>
  <c r="D32" i="9" s="1"/>
  <c r="I69" i="2"/>
  <c r="D58" i="9" s="1"/>
  <c r="I40" i="2"/>
  <c r="D29" i="9" s="1"/>
  <c r="I48" i="2"/>
  <c r="D37" i="9" s="1"/>
  <c r="I68" i="2"/>
  <c r="D57" i="9" s="1"/>
  <c r="I38" i="2"/>
  <c r="D27" i="9" s="1"/>
  <c r="I64" i="2"/>
  <c r="D53" i="9" s="1"/>
  <c r="I49" i="2"/>
  <c r="D38" i="9" s="1"/>
  <c r="I44" i="2"/>
  <c r="D33" i="9" s="1"/>
  <c r="I42" i="2"/>
  <c r="D31" i="9" s="1"/>
  <c r="I30" i="2"/>
  <c r="D19" i="9" s="1"/>
  <c r="E75" i="34"/>
  <c r="F75" i="34" s="1"/>
  <c r="E24" i="27"/>
  <c r="F24" i="27" s="1"/>
  <c r="E12" i="30"/>
  <c r="F12" i="30" s="1"/>
  <c r="E19" i="27"/>
  <c r="F19" i="27" s="1"/>
  <c r="E11" i="31"/>
  <c r="F11" i="31" s="1"/>
  <c r="E40" i="34"/>
  <c r="F40" i="34" s="1"/>
  <c r="E46" i="33"/>
  <c r="F46" i="33" s="1"/>
  <c r="E16" i="27"/>
  <c r="F16" i="27" s="1"/>
  <c r="E79" i="34"/>
  <c r="F79" i="34" s="1"/>
  <c r="E39" i="31"/>
  <c r="F39" i="31" s="1"/>
  <c r="E29" i="29"/>
  <c r="F29" i="29" s="1"/>
  <c r="E16" i="31"/>
  <c r="F16" i="31" s="1"/>
  <c r="E11" i="30"/>
  <c r="F11" i="30" s="1"/>
  <c r="E81" i="34"/>
  <c r="F81" i="34" s="1"/>
  <c r="E56" i="34"/>
  <c r="F56" i="34" s="1"/>
  <c r="E15" i="30"/>
  <c r="F15" i="30" s="1"/>
  <c r="E19" i="33"/>
  <c r="F19" i="33" s="1"/>
  <c r="E40" i="29"/>
  <c r="F40" i="29" s="1"/>
  <c r="E11" i="34"/>
  <c r="F11" i="34" s="1"/>
  <c r="E38" i="30"/>
  <c r="F38" i="30" s="1"/>
  <c r="E33" i="27"/>
  <c r="F33" i="27" s="1"/>
  <c r="E13" i="31"/>
  <c r="F13" i="31" s="1"/>
  <c r="E21" i="33"/>
  <c r="F21" i="33" s="1"/>
  <c r="E42" i="29"/>
  <c r="F42" i="29" s="1"/>
  <c r="E19" i="34"/>
  <c r="F19" i="34" s="1"/>
  <c r="E67" i="34"/>
  <c r="F67" i="34" s="1"/>
  <c r="E92" i="34"/>
  <c r="F92" i="34" s="1"/>
  <c r="E69" i="34"/>
  <c r="F69" i="34" s="1"/>
  <c r="E33" i="29"/>
  <c r="F33" i="29" s="1"/>
  <c r="E93" i="34"/>
  <c r="F93" i="34" s="1"/>
  <c r="E19" i="29"/>
  <c r="F19" i="29" s="1"/>
  <c r="E17" i="31"/>
  <c r="F17" i="31" s="1"/>
  <c r="E38" i="34"/>
  <c r="F38" i="34" s="1"/>
  <c r="E80" i="34"/>
  <c r="F80" i="34" s="1"/>
  <c r="E39" i="34"/>
  <c r="F39" i="34" s="1"/>
  <c r="E48" i="27"/>
  <c r="F48" i="27" s="1"/>
  <c r="E45" i="27"/>
  <c r="F45" i="27" s="1"/>
  <c r="E20" i="31"/>
  <c r="F20" i="31" s="1"/>
  <c r="E35" i="31"/>
  <c r="F35" i="31" s="1"/>
  <c r="E41" i="27"/>
  <c r="F41" i="27" s="1"/>
  <c r="E32" i="34"/>
  <c r="F32" i="34" s="1"/>
  <c r="E32" i="33"/>
  <c r="F32" i="33" s="1"/>
  <c r="E36" i="34"/>
  <c r="F36" i="34" s="1"/>
  <c r="E27" i="30"/>
  <c r="F27" i="30" s="1"/>
  <c r="E15" i="31"/>
  <c r="F15" i="31" s="1"/>
  <c r="E30" i="34"/>
  <c r="F30" i="34" s="1"/>
  <c r="E31" i="30"/>
  <c r="F31" i="30" s="1"/>
  <c r="E41" i="33"/>
  <c r="F41" i="33" s="1"/>
  <c r="E17" i="33"/>
  <c r="F17" i="33" s="1"/>
  <c r="E20" i="34"/>
  <c r="F20" i="34" s="1"/>
  <c r="E53" i="34"/>
  <c r="F53" i="34" s="1"/>
  <c r="E34" i="31"/>
  <c r="F34" i="31" s="1"/>
  <c r="E74" i="34"/>
  <c r="F74" i="34" s="1"/>
  <c r="E55" i="27"/>
  <c r="F55" i="27" s="1"/>
  <c r="E54" i="27"/>
  <c r="F54" i="27" s="1"/>
  <c r="E56" i="27"/>
  <c r="F56" i="27" s="1"/>
  <c r="E25" i="33"/>
  <c r="F25" i="33" s="1"/>
  <c r="E29" i="30"/>
  <c r="F29" i="30" s="1"/>
  <c r="E34" i="29"/>
  <c r="F34" i="29" s="1"/>
  <c r="E17" i="30"/>
  <c r="F17" i="30" s="1"/>
  <c r="E43" i="29"/>
  <c r="F43" i="29" s="1"/>
  <c r="E45" i="31"/>
  <c r="F45" i="31" s="1"/>
  <c r="E24" i="33"/>
  <c r="F24" i="33" s="1"/>
  <c r="E43" i="34"/>
  <c r="F43" i="34" s="1"/>
  <c r="E36" i="30"/>
  <c r="F36" i="30" s="1"/>
  <c r="E38" i="33"/>
  <c r="F38" i="33" s="1"/>
  <c r="E18" i="33"/>
  <c r="F18" i="33" s="1"/>
  <c r="E26" i="31"/>
  <c r="F26" i="31" s="1"/>
  <c r="E15" i="29"/>
  <c r="F15" i="29" s="1"/>
  <c r="E42" i="34"/>
  <c r="F42" i="34" s="1"/>
  <c r="E90" i="34"/>
  <c r="F90" i="34" s="1"/>
  <c r="E21" i="29"/>
  <c r="F21" i="29" s="1"/>
  <c r="E58" i="34"/>
  <c r="F58" i="34" s="1"/>
  <c r="E46" i="29"/>
  <c r="F46" i="29" s="1"/>
  <c r="E39" i="27"/>
  <c r="F39" i="27" s="1"/>
  <c r="E22" i="27"/>
  <c r="F22" i="27" s="1"/>
  <c r="E25" i="29"/>
  <c r="F25" i="29" s="1"/>
  <c r="E31" i="33"/>
  <c r="F31" i="33" s="1"/>
  <c r="E44" i="27"/>
  <c r="F44" i="27" s="1"/>
  <c r="E76" i="34"/>
  <c r="F76" i="34" s="1"/>
  <c r="E15" i="34"/>
  <c r="F15" i="34" s="1"/>
  <c r="E29" i="27"/>
  <c r="F29" i="27" s="1"/>
  <c r="E16" i="34"/>
  <c r="F16" i="34" s="1"/>
  <c r="E38" i="27"/>
  <c r="F38" i="27" s="1"/>
  <c r="E27" i="33"/>
  <c r="F27" i="33" s="1"/>
  <c r="E12" i="34"/>
  <c r="F12" i="34" s="1"/>
  <c r="E22" i="31"/>
  <c r="F22" i="31" s="1"/>
  <c r="E62" i="34"/>
  <c r="F62" i="34" s="1"/>
  <c r="E26" i="27"/>
  <c r="F26" i="27" s="1"/>
  <c r="E50" i="27"/>
  <c r="F50" i="27" s="1"/>
  <c r="E65" i="34"/>
  <c r="F65" i="34" s="1"/>
  <c r="E45" i="29"/>
  <c r="F45" i="29" s="1"/>
  <c r="E89" i="34"/>
  <c r="F89" i="34" s="1"/>
  <c r="E20" i="33"/>
  <c r="F20" i="33" s="1"/>
  <c r="E37" i="33"/>
  <c r="F37" i="33" s="1"/>
  <c r="E50" i="34"/>
  <c r="F50" i="34" s="1"/>
  <c r="E21" i="27"/>
  <c r="F21" i="27" s="1"/>
  <c r="E27" i="34"/>
  <c r="F27" i="34" s="1"/>
  <c r="E14" i="27"/>
  <c r="F14" i="27" s="1"/>
  <c r="E41" i="34"/>
  <c r="F41" i="34" s="1"/>
  <c r="E14" i="31"/>
  <c r="F14" i="31" s="1"/>
  <c r="E31" i="34"/>
  <c r="F31" i="34" s="1"/>
  <c r="E25" i="31"/>
  <c r="F25" i="31" s="1"/>
  <c r="E72" i="34"/>
  <c r="F72" i="34" s="1"/>
  <c r="E46" i="34"/>
  <c r="F46" i="34" s="1"/>
  <c r="E14" i="30"/>
  <c r="F14" i="30" s="1"/>
  <c r="E19" i="31"/>
  <c r="F19" i="31" s="1"/>
  <c r="E28" i="29"/>
  <c r="F28" i="29" s="1"/>
  <c r="E17" i="34"/>
  <c r="F17" i="34" s="1"/>
  <c r="E35" i="34"/>
  <c r="F35" i="34" s="1"/>
  <c r="E36" i="29"/>
  <c r="F36" i="29" s="1"/>
  <c r="E47" i="27"/>
  <c r="F47" i="27" s="1"/>
  <c r="E39" i="30"/>
  <c r="F39" i="30" s="1"/>
  <c r="E24" i="31"/>
  <c r="F24" i="31" s="1"/>
  <c r="E17" i="29"/>
  <c r="F17" i="29" s="1"/>
  <c r="E15" i="27"/>
  <c r="F15" i="27" s="1"/>
  <c r="E25" i="34"/>
  <c r="F25" i="34" s="1"/>
  <c r="E12" i="29"/>
  <c r="F12" i="29" s="1"/>
  <c r="E52" i="34"/>
  <c r="F52" i="34" s="1"/>
  <c r="E86" i="34"/>
  <c r="F86" i="34" s="1"/>
  <c r="E31" i="27"/>
  <c r="F31" i="27" s="1"/>
  <c r="E26" i="33"/>
  <c r="F26" i="33" s="1"/>
  <c r="E83" i="34"/>
  <c r="F83" i="34" s="1"/>
  <c r="E12" i="27"/>
  <c r="F12" i="27" s="1"/>
  <c r="E28" i="33"/>
  <c r="F28" i="33" s="1"/>
  <c r="E18" i="34"/>
  <c r="F18" i="34" s="1"/>
  <c r="E18" i="31"/>
  <c r="F18" i="31" s="1"/>
  <c r="E14" i="34"/>
  <c r="F14" i="34" s="1"/>
  <c r="E40" i="31"/>
  <c r="F40" i="31" s="1"/>
  <c r="E41" i="30"/>
  <c r="F41" i="30" s="1"/>
  <c r="E23" i="33"/>
  <c r="F23" i="33" s="1"/>
  <c r="E61" i="34"/>
  <c r="F61" i="34" s="1"/>
  <c r="E44" i="31"/>
  <c r="F44" i="31" s="1"/>
  <c r="E77" i="34"/>
  <c r="F77" i="34" s="1"/>
  <c r="E40" i="33"/>
  <c r="F40" i="33" s="1"/>
  <c r="E27" i="27"/>
  <c r="F27" i="27" s="1"/>
  <c r="E16" i="30"/>
  <c r="F16" i="30" s="1"/>
  <c r="E47" i="34"/>
  <c r="F47" i="34" s="1"/>
  <c r="E24" i="30"/>
  <c r="F24" i="30" s="1"/>
  <c r="E21" i="34"/>
  <c r="F21" i="34" s="1"/>
  <c r="E33" i="33"/>
  <c r="F33" i="33" s="1"/>
  <c r="E28" i="30"/>
  <c r="F28" i="30" s="1"/>
  <c r="E13" i="34"/>
  <c r="F13" i="34" s="1"/>
  <c r="E30" i="31"/>
  <c r="F30" i="31" s="1"/>
  <c r="E66" i="34"/>
  <c r="F66" i="34" s="1"/>
  <c r="E85" i="34"/>
  <c r="F85" i="34" s="1"/>
  <c r="E14" i="33"/>
  <c r="F14" i="33" s="1"/>
  <c r="E31" i="31"/>
  <c r="F31" i="31" s="1"/>
  <c r="E39" i="33"/>
  <c r="F39" i="33" s="1"/>
  <c r="E32" i="27"/>
  <c r="F32" i="27" s="1"/>
  <c r="E39" i="29"/>
  <c r="F39" i="29" s="1"/>
  <c r="E53" i="27"/>
  <c r="F53" i="27" s="1"/>
  <c r="E44" i="34"/>
  <c r="F44" i="34" s="1"/>
  <c r="E26" i="30"/>
  <c r="F26" i="30" s="1"/>
  <c r="E43" i="27"/>
  <c r="F43" i="27" s="1"/>
  <c r="E37" i="29"/>
  <c r="F37" i="29" s="1"/>
  <c r="E23" i="34"/>
  <c r="F23" i="34" s="1"/>
  <c r="E36" i="31"/>
  <c r="F36" i="31" s="1"/>
  <c r="E37" i="31"/>
  <c r="F37" i="31" s="1"/>
  <c r="E23" i="29"/>
  <c r="F23" i="29" s="1"/>
  <c r="E91" i="34"/>
  <c r="F91" i="34" s="1"/>
  <c r="E38" i="31"/>
  <c r="F38" i="31" s="1"/>
  <c r="E22" i="33"/>
  <c r="F22" i="33" s="1"/>
  <c r="E29" i="33"/>
  <c r="F29" i="33" s="1"/>
  <c r="E40" i="30"/>
  <c r="F40" i="30" s="1"/>
  <c r="E12" i="33"/>
  <c r="F12" i="33" s="1"/>
  <c r="E42" i="33"/>
  <c r="F42" i="33" s="1"/>
  <c r="E48" i="34"/>
  <c r="F48" i="34" s="1"/>
  <c r="E52" i="27"/>
  <c r="F52" i="27" s="1"/>
  <c r="E21" i="30"/>
  <c r="F21" i="30" s="1"/>
  <c r="E20" i="29"/>
  <c r="F20" i="29" s="1"/>
  <c r="E34" i="27"/>
  <c r="F34" i="27" s="1"/>
  <c r="E27" i="29"/>
  <c r="F27" i="29" s="1"/>
  <c r="E44" i="30"/>
  <c r="F44" i="30" s="1"/>
  <c r="E32" i="29"/>
  <c r="F32" i="29" s="1"/>
  <c r="E18" i="29"/>
  <c r="F18" i="29" s="1"/>
  <c r="E46" i="30"/>
  <c r="F46" i="30" s="1"/>
  <c r="E14" i="29"/>
  <c r="F14" i="29" s="1"/>
  <c r="E42" i="27"/>
  <c r="F42" i="27" s="1"/>
  <c r="E16" i="29"/>
  <c r="F16" i="29" s="1"/>
  <c r="E13" i="29"/>
  <c r="F13" i="29" s="1"/>
  <c r="E45" i="34"/>
  <c r="F45" i="34" s="1"/>
  <c r="E11" i="27"/>
  <c r="F11" i="27" s="1"/>
  <c r="E68" i="34"/>
  <c r="F68" i="34" s="1"/>
  <c r="E59" i="34"/>
  <c r="F59" i="34" s="1"/>
  <c r="E18" i="27"/>
  <c r="F18" i="27" s="1"/>
  <c r="E87" i="34"/>
  <c r="F87" i="34" s="1"/>
  <c r="E82" i="34"/>
  <c r="F82" i="34" s="1"/>
  <c r="E12" i="31"/>
  <c r="F12" i="31" s="1"/>
  <c r="E49" i="34"/>
  <c r="F49" i="34" s="1"/>
  <c r="E32" i="31"/>
  <c r="F32" i="31" s="1"/>
  <c r="E51" i="27"/>
  <c r="F51" i="27" s="1"/>
  <c r="E43" i="33"/>
  <c r="F43" i="33" s="1"/>
  <c r="E35" i="29"/>
  <c r="F35" i="29" s="1"/>
  <c r="E28" i="34"/>
  <c r="F28" i="34" s="1"/>
  <c r="E11" i="33"/>
  <c r="F11" i="33" s="1"/>
  <c r="E29" i="34"/>
  <c r="F29" i="34" s="1"/>
  <c r="E41" i="29"/>
  <c r="F41" i="29" s="1"/>
  <c r="E25" i="27"/>
  <c r="F25" i="27" s="1"/>
  <c r="E22" i="29"/>
  <c r="F22" i="29" s="1"/>
  <c r="E73" i="34"/>
  <c r="F73" i="34" s="1"/>
  <c r="E46" i="27"/>
  <c r="F46" i="27" s="1"/>
  <c r="E13" i="30"/>
  <c r="F13" i="30" s="1"/>
  <c r="E35" i="27"/>
  <c r="F35" i="27" s="1"/>
  <c r="E26" i="29"/>
  <c r="F26" i="29" s="1"/>
  <c r="E29" i="31"/>
  <c r="F29" i="31" s="1"/>
  <c r="E19" i="30"/>
  <c r="F19" i="30" s="1"/>
  <c r="E30" i="29"/>
  <c r="F30" i="29" s="1"/>
  <c r="E44" i="33"/>
  <c r="F44" i="33" s="1"/>
  <c r="E37" i="30"/>
  <c r="F37" i="30" s="1"/>
  <c r="E54" i="34"/>
  <c r="F54" i="34" s="1"/>
  <c r="E30" i="33"/>
  <c r="F30" i="33" s="1"/>
  <c r="E34" i="33"/>
  <c r="F34" i="33" s="1"/>
  <c r="E31" i="29"/>
  <c r="F31" i="29" s="1"/>
  <c r="E63" i="34"/>
  <c r="F63" i="34" s="1"/>
  <c r="E28" i="31"/>
  <c r="F28" i="31" s="1"/>
  <c r="E34" i="34"/>
  <c r="F34" i="34" s="1"/>
  <c r="E21" i="31"/>
  <c r="F21" i="31" s="1"/>
  <c r="E20" i="27"/>
  <c r="F20" i="27" s="1"/>
  <c r="E45" i="30"/>
  <c r="F45" i="30" s="1"/>
  <c r="E15" i="33"/>
  <c r="F15" i="33" s="1"/>
  <c r="E42" i="30"/>
  <c r="F42" i="30" s="1"/>
  <c r="E30" i="30"/>
  <c r="F30" i="30" s="1"/>
  <c r="E18" i="30"/>
  <c r="F18" i="30" s="1"/>
  <c r="E43" i="31"/>
  <c r="F43" i="31" s="1"/>
  <c r="E37" i="34"/>
  <c r="F37" i="34" s="1"/>
  <c r="A73" i="28"/>
  <c r="E20" i="30"/>
  <c r="F20" i="30" s="1"/>
  <c r="E70" i="34"/>
  <c r="F70" i="34" s="1"/>
  <c r="E23" i="27"/>
  <c r="F23" i="27" s="1"/>
  <c r="E60" i="34"/>
  <c r="F60" i="34" s="1"/>
  <c r="E26" i="34"/>
  <c r="F26" i="34" s="1"/>
  <c r="E33" i="34"/>
  <c r="F33" i="34" s="1"/>
  <c r="E41" i="31"/>
  <c r="F41" i="31" s="1"/>
  <c r="E88" i="34"/>
  <c r="F88" i="34" s="1"/>
  <c r="E30" i="27"/>
  <c r="F30" i="27" s="1"/>
  <c r="E49" i="27"/>
  <c r="F49" i="27" s="1"/>
  <c r="E16" i="33"/>
  <c r="F16" i="33" s="1"/>
  <c r="E33" i="30"/>
  <c r="F33" i="30" s="1"/>
  <c r="E25" i="30"/>
  <c r="F25" i="30" s="1"/>
  <c r="E38" i="29"/>
  <c r="F38" i="29" s="1"/>
  <c r="E22" i="30"/>
  <c r="F22" i="30" s="1"/>
  <c r="E78" i="34"/>
  <c r="F78" i="34" s="1"/>
  <c r="E51" i="34"/>
  <c r="F51" i="34" s="1"/>
  <c r="E35" i="30"/>
  <c r="F35" i="30" s="1"/>
  <c r="E28" i="27"/>
  <c r="F28" i="27" s="1"/>
  <c r="E64" i="34"/>
  <c r="F64" i="34" s="1"/>
  <c r="E27" i="31"/>
  <c r="F27" i="31" s="1"/>
  <c r="E44" i="29"/>
  <c r="F44" i="29" s="1"/>
  <c r="E36" i="27"/>
  <c r="F36" i="27" s="1"/>
  <c r="E71" i="34"/>
  <c r="F71" i="34" s="1"/>
  <c r="E32" i="30"/>
  <c r="F32" i="30" s="1"/>
  <c r="E22" i="34"/>
  <c r="F22" i="34" s="1"/>
  <c r="E55" i="34"/>
  <c r="F55" i="34" s="1"/>
  <c r="E42" i="31"/>
  <c r="F42" i="31" s="1"/>
  <c r="E23" i="30"/>
  <c r="F23" i="30" s="1"/>
  <c r="E40" i="27"/>
  <c r="F40" i="27" s="1"/>
  <c r="E11" i="29"/>
  <c r="F11" i="29" s="1"/>
  <c r="E45" i="33"/>
  <c r="F45" i="33" s="1"/>
  <c r="E24" i="34"/>
  <c r="F24" i="34" s="1"/>
  <c r="E17" i="27"/>
  <c r="F17" i="27" s="1"/>
  <c r="E36" i="33"/>
  <c r="F36" i="33" s="1"/>
  <c r="E23" i="31"/>
  <c r="F23" i="31" s="1"/>
  <c r="E35" i="33"/>
  <c r="F35" i="33" s="1"/>
  <c r="E43" i="30"/>
  <c r="F43" i="30" s="1"/>
  <c r="E13" i="27"/>
  <c r="F13" i="27" s="1"/>
  <c r="E37" i="27"/>
  <c r="F37" i="27" s="1"/>
  <c r="E34" i="30"/>
  <c r="F34" i="30" s="1"/>
  <c r="E57" i="34"/>
  <c r="F57" i="34" s="1"/>
  <c r="E24" i="29"/>
  <c r="F24" i="29" s="1"/>
  <c r="E84" i="34"/>
  <c r="F84" i="34" s="1"/>
  <c r="E33" i="31"/>
  <c r="F33" i="31" s="1"/>
  <c r="E13" i="33"/>
  <c r="F13" i="33" s="1"/>
  <c r="I36" i="2"/>
  <c r="D25" i="9" s="1"/>
  <c r="I41" i="2"/>
  <c r="D30" i="9" s="1"/>
  <c r="I71" i="2"/>
  <c r="D60" i="9" s="1"/>
  <c r="I53" i="2"/>
  <c r="D42" i="9" s="1"/>
  <c r="I66" i="2"/>
  <c r="D55" i="9" s="1"/>
  <c r="I65" i="2"/>
  <c r="D54" i="9" s="1"/>
  <c r="I67" i="2"/>
  <c r="D56" i="9" s="1"/>
  <c r="I46" i="2"/>
  <c r="D35" i="9" s="1"/>
  <c r="I34" i="2"/>
  <c r="D23" i="9" s="1"/>
  <c r="D75" i="9"/>
  <c r="I56" i="2"/>
  <c r="D45" i="9" s="1"/>
  <c r="I63" i="2"/>
  <c r="D52" i="9" s="1"/>
  <c r="I60" i="2"/>
  <c r="D49" i="9" s="1"/>
  <c r="I45" i="2"/>
  <c r="D34" i="9" s="1"/>
  <c r="I55" i="2"/>
  <c r="D44" i="9" s="1"/>
  <c r="I59" i="2"/>
  <c r="D48" i="9" s="1"/>
  <c r="I29" i="2"/>
  <c r="D18" i="9" s="1"/>
  <c r="I70" i="2"/>
  <c r="D59" i="9" s="1"/>
  <c r="I47" i="2"/>
  <c r="D36" i="9" s="1"/>
  <c r="I61" i="2"/>
  <c r="D50" i="9" s="1"/>
  <c r="C6" i="2"/>
  <c r="I52" i="2"/>
  <c r="D41" i="9" s="1"/>
  <c r="I54" i="2"/>
  <c r="D43" i="9" s="1"/>
  <c r="I32" i="2"/>
  <c r="D21" i="9" s="1"/>
  <c r="H126" i="2"/>
  <c r="H128" i="2" s="1"/>
  <c r="H129" i="2" s="1"/>
  <c r="H65" i="28" l="1"/>
  <c r="J71" i="28" s="1"/>
  <c r="B6" i="28"/>
  <c r="I121" i="2"/>
  <c r="D63" i="9"/>
  <c r="I93" i="9" s="1"/>
  <c r="I96" i="9" s="1"/>
  <c r="F59" i="30"/>
  <c r="F50" i="30" s="1"/>
  <c r="F51" i="30" s="1"/>
  <c r="F52" i="30" s="1"/>
  <c r="F53" i="30" s="1"/>
  <c r="F69" i="27"/>
  <c r="H18" i="2" s="1"/>
  <c r="F105" i="34"/>
  <c r="H23" i="2" s="1"/>
  <c r="F58" i="29"/>
  <c r="F49" i="29" s="1"/>
  <c r="F50" i="29" s="1"/>
  <c r="F51" i="29" s="1"/>
  <c r="F53" i="29" s="1"/>
  <c r="F59" i="33"/>
  <c r="H22" i="2" s="1"/>
  <c r="F59" i="31"/>
  <c r="H21" i="2" s="1"/>
  <c r="I75" i="2"/>
  <c r="H130" i="2"/>
  <c r="D92" i="9" l="1"/>
  <c r="H19" i="2"/>
  <c r="N93" i="9"/>
  <c r="N96" i="9" s="1"/>
  <c r="F50" i="31"/>
  <c r="F51" i="31" s="1"/>
  <c r="F52" i="31" s="1"/>
  <c r="F53" i="31" s="1"/>
  <c r="H20" i="2"/>
  <c r="F52" i="29"/>
  <c r="F54" i="29" s="1"/>
  <c r="F55" i="29" s="1"/>
  <c r="F50" i="33"/>
  <c r="F51" i="33" s="1"/>
  <c r="F52" i="33" s="1"/>
  <c r="F54" i="33" s="1"/>
  <c r="G93" i="9"/>
  <c r="G96" i="9" s="1"/>
  <c r="Q93" i="9"/>
  <c r="Q96" i="9" s="1"/>
  <c r="K93" i="9"/>
  <c r="K96" i="9" s="1"/>
  <c r="F60" i="27"/>
  <c r="F61" i="27" s="1"/>
  <c r="F62" i="27" s="1"/>
  <c r="F64" i="27" s="1"/>
  <c r="J93" i="9"/>
  <c r="J96" i="9" s="1"/>
  <c r="F93" i="9"/>
  <c r="F96" i="9" s="1"/>
  <c r="F97" i="9" s="1"/>
  <c r="M93" i="9"/>
  <c r="M96" i="9" s="1"/>
  <c r="F96" i="34"/>
  <c r="F97" i="34" s="1"/>
  <c r="F98" i="34" s="1"/>
  <c r="F99" i="34" s="1"/>
  <c r="L93" i="9"/>
  <c r="L96" i="9" s="1"/>
  <c r="O93" i="9"/>
  <c r="O96" i="9" s="1"/>
  <c r="P93" i="9"/>
  <c r="P96" i="9" s="1"/>
  <c r="H93" i="9"/>
  <c r="H96" i="9" s="1"/>
  <c r="I134" i="2"/>
  <c r="F54" i="30"/>
  <c r="F55" i="30" s="1"/>
  <c r="F56" i="30" s="1"/>
  <c r="F56" i="29"/>
  <c r="F94" i="9" l="1"/>
  <c r="G94" i="9" s="1"/>
  <c r="H94" i="9" s="1"/>
  <c r="I94" i="9" s="1"/>
  <c r="J94" i="9" s="1"/>
  <c r="K94" i="9" s="1"/>
  <c r="L94" i="9" s="1"/>
  <c r="M94" i="9" s="1"/>
  <c r="N94" i="9" s="1"/>
  <c r="O94" i="9" s="1"/>
  <c r="P94" i="9" s="1"/>
  <c r="Q94" i="9" s="1"/>
  <c r="F54" i="31"/>
  <c r="F55" i="31" s="1"/>
  <c r="F57" i="31" s="1"/>
  <c r="G97" i="9"/>
  <c r="H97" i="9" s="1"/>
  <c r="I97" i="9" s="1"/>
  <c r="J97" i="9" s="1"/>
  <c r="K97" i="9" s="1"/>
  <c r="L97" i="9" s="1"/>
  <c r="M97" i="9" s="1"/>
  <c r="N97" i="9" s="1"/>
  <c r="O97" i="9" s="1"/>
  <c r="P97" i="9" s="1"/>
  <c r="Q97" i="9" s="1"/>
  <c r="F53" i="33"/>
  <c r="F55" i="33" s="1"/>
  <c r="F56" i="33" s="1"/>
  <c r="F63" i="27"/>
  <c r="F65" i="27" s="1"/>
  <c r="F66" i="27" s="1"/>
  <c r="F100" i="34"/>
  <c r="F101" i="34" s="1"/>
  <c r="F103" i="34" s="1"/>
  <c r="F57" i="30"/>
  <c r="F56" i="31" l="1"/>
  <c r="F67" i="27"/>
  <c r="F57" i="33"/>
  <c r="F102"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EJECUCION</author>
  </authors>
  <commentList>
    <comment ref="C9" authorId="0" shapeId="0" xr:uid="{00000000-0006-0000-1000-000001000000}">
      <text>
        <r>
          <rPr>
            <sz val="9"/>
            <color indexed="81"/>
            <rFont val="Tahoma"/>
            <family val="2"/>
          </rPr>
          <t>En caso de agregar filas tener en cuenta copiar la fórmula a la fila agregada</t>
        </r>
      </text>
    </comment>
    <comment ref="E9" authorId="0" shapeId="0" xr:uid="{00000000-0006-0000-1000-000002000000}">
      <text>
        <r>
          <rPr>
            <sz val="9"/>
            <color indexed="81"/>
            <rFont val="Tahoma"/>
            <family val="2"/>
          </rPr>
          <t>Se recomienda no cambiar esta fórmula para que la compatibilidad de los insumos sea más fácil de trabajar.</t>
        </r>
      </text>
    </comment>
  </commentList>
</comments>
</file>

<file path=xl/sharedStrings.xml><?xml version="1.0" encoding="utf-8"?>
<sst xmlns="http://schemas.openxmlformats.org/spreadsheetml/2006/main" count="2596" uniqueCount="1377">
  <si>
    <t>DESIGNACION</t>
  </si>
  <si>
    <t>UN.</t>
  </si>
  <si>
    <t>CANT.</t>
  </si>
  <si>
    <t>gl</t>
  </si>
  <si>
    <t>m3</t>
  </si>
  <si>
    <t>m2</t>
  </si>
  <si>
    <t>REVESTIMIENTOS</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</si>
  <si>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</si>
  <si>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</si>
  <si>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</si>
  <si>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</si>
  <si>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</si>
  <si>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</si>
  <si>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</si>
  <si>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</si>
  <si>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</si>
  <si>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</si>
  <si>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</si>
  <si>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</si>
  <si>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</si>
  <si>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</si>
  <si>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</si>
  <si>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</si>
  <si>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</si>
  <si>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</si>
  <si>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</si>
  <si>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</si>
  <si>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</si>
  <si>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</si>
  <si>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</si>
  <si>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</si>
  <si>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</si>
  <si>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</si>
  <si>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</si>
  <si>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</si>
  <si>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</si>
  <si>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</si>
  <si>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</si>
  <si>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</si>
  <si>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</si>
  <si>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</si>
  <si>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</si>
  <si>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</si>
  <si>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</si>
  <si>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</si>
  <si>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</si>
  <si>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</si>
  <si>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</si>
  <si>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</si>
  <si>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</si>
  <si>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</si>
  <si>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</si>
  <si>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</si>
  <si>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</si>
  <si>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</si>
  <si>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</si>
  <si>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</si>
  <si>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</si>
  <si>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</si>
  <si>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</si>
  <si>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</si>
  <si>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</si>
  <si>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</si>
  <si>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</si>
  <si>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</si>
  <si>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</si>
  <si>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</si>
  <si>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</si>
  <si>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</si>
  <si>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</si>
  <si>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</si>
  <si>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</si>
  <si>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</si>
  <si>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</si>
  <si>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</si>
  <si>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</si>
  <si>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</si>
  <si>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</si>
  <si>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</si>
  <si>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</si>
  <si>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</si>
  <si>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</si>
  <si>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</si>
  <si>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</si>
  <si>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</si>
  <si>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</si>
  <si>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</si>
  <si>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</si>
  <si>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</si>
  <si>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</si>
  <si>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</si>
  <si>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</si>
  <si>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</si>
  <si>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</si>
  <si>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</si>
  <si>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</si>
  <si>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</si>
  <si>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</si>
  <si>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</si>
  <si>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</si>
  <si>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</si>
  <si>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</si>
  <si>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</si>
  <si>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</si>
  <si>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</si>
  <si>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</si>
  <si>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</si>
  <si>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</si>
  <si>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</si>
  <si>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</si>
  <si>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</si>
  <si>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</si>
  <si>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</si>
  <si>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</si>
  <si>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</si>
  <si>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</si>
  <si>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</si>
  <si>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</si>
  <si>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</si>
  <si>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</si>
  <si>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</si>
  <si>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</si>
  <si>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</si>
  <si>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</si>
  <si>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</si>
  <si>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</si>
  <si>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</si>
  <si>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</si>
  <si>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</si>
  <si>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</si>
  <si>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</si>
  <si>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</si>
  <si>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</si>
  <si>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</si>
  <si>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</si>
  <si>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</si>
  <si>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</si>
  <si>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</si>
  <si>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</si>
  <si>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</si>
  <si>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</si>
  <si>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</si>
  <si>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</si>
  <si>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</si>
  <si>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</si>
  <si>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</si>
  <si>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</si>
  <si>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</si>
  <si>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</si>
  <si>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</si>
  <si>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</si>
  <si>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</si>
  <si>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</si>
  <si>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</si>
  <si>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</si>
  <si>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</si>
  <si>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</si>
  <si>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</si>
  <si>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</si>
  <si>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</si>
  <si>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</si>
  <si>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</si>
  <si>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</si>
  <si>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</si>
  <si>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</si>
  <si>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</si>
  <si>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</si>
  <si>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</si>
  <si>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</si>
  <si>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</si>
  <si>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</si>
  <si>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</si>
  <si>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</si>
  <si>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</si>
  <si>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</si>
  <si>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</si>
  <si>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</si>
  <si>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</si>
  <si>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</si>
  <si>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</si>
  <si>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</si>
  <si>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</si>
  <si>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</si>
  <si>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</si>
  <si>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</si>
  <si>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</si>
  <si>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</si>
  <si>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</si>
  <si>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</si>
  <si>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</si>
  <si>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</si>
  <si>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</si>
  <si>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</si>
  <si>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</si>
  <si>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</si>
  <si>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</si>
  <si>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</si>
  <si>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</si>
  <si>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</si>
  <si>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</si>
  <si>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</si>
  <si>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</si>
  <si>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</si>
  <si>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</si>
  <si>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</si>
  <si>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</si>
  <si>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</si>
  <si>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</si>
  <si>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</si>
  <si>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</si>
  <si>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</si>
  <si>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</si>
  <si>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</si>
  <si>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</si>
  <si>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</si>
  <si>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</si>
  <si>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</si>
  <si>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</si>
  <si>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</si>
  <si>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</si>
  <si>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</si>
  <si>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</si>
  <si>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</si>
  <si>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</si>
  <si>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</si>
  <si>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</si>
  <si>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</si>
  <si>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</si>
  <si>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</si>
  <si>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</si>
  <si>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</si>
  <si>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</si>
  <si>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</si>
  <si>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</si>
  <si>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</si>
  <si>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</si>
  <si>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</si>
  <si>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</si>
  <si>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</si>
  <si>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</si>
  <si>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</si>
  <si>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</si>
  <si>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</si>
  <si>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</si>
  <si>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</si>
  <si>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</si>
  <si>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</si>
  <si>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</si>
  <si>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</si>
  <si>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</si>
  <si>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</si>
  <si>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</si>
  <si>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</si>
  <si>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</si>
  <si>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</si>
  <si>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</si>
  <si>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</si>
  <si>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</si>
  <si>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</si>
  <si>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</si>
  <si>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</si>
  <si>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</si>
  <si>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</si>
  <si>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</si>
  <si>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</si>
  <si>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</si>
  <si>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</si>
  <si>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</si>
  <si>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</si>
  <si>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</si>
  <si>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</si>
  <si>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</si>
  <si>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</si>
  <si>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</si>
  <si>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</si>
  <si>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</si>
  <si>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</si>
  <si>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</si>
  <si>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</si>
  <si>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</si>
  <si>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</si>
  <si>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</si>
  <si>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</si>
  <si>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</si>
  <si>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</si>
  <si>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</si>
  <si>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</si>
  <si>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</si>
  <si>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</si>
  <si>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</si>
  <si>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</si>
  <si>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</si>
  <si>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</si>
  <si>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</si>
  <si>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</si>
  <si>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</si>
  <si>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</si>
  <si>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</si>
  <si>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</si>
  <si>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</si>
  <si>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</si>
  <si>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</si>
  <si>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</si>
  <si>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</si>
  <si>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</si>
  <si>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</si>
  <si>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</si>
  <si>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</si>
  <si>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</si>
  <si>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</si>
  <si>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</si>
  <si>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</si>
  <si>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</si>
  <si>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</si>
  <si>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</si>
  <si>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</si>
  <si>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</si>
  <si>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</si>
  <si>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</si>
  <si>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</si>
  <si>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</si>
  <si>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</si>
  <si>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</si>
  <si>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</si>
  <si>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</si>
  <si>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</si>
  <si>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</si>
  <si>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</si>
  <si>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</si>
  <si>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</si>
  <si>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</si>
  <si>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</si>
  <si>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</si>
  <si>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</si>
  <si>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</si>
  <si>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</si>
  <si>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</si>
  <si>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</si>
  <si>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</si>
  <si>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</si>
  <si>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</si>
  <si>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</si>
  <si>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</si>
  <si>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</si>
  <si>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</si>
  <si>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</si>
  <si>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</si>
  <si>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</si>
  <si>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</si>
  <si>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</si>
  <si>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</si>
  <si>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</si>
  <si>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</si>
  <si>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</si>
  <si>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</si>
  <si>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</si>
  <si>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</si>
  <si>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</si>
  <si>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</si>
  <si>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</si>
  <si>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</si>
  <si>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</si>
  <si>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</si>
  <si>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</si>
  <si>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</si>
  <si>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</si>
  <si>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</si>
  <si>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</si>
  <si>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</si>
  <si>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</si>
  <si>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</si>
  <si>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</si>
  <si>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</si>
  <si>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</si>
  <si>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</si>
  <si>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</si>
  <si>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</si>
  <si>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</si>
  <si>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</si>
  <si>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</si>
  <si>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</si>
  <si>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</si>
  <si>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</si>
  <si>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</si>
  <si>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</si>
  <si>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</si>
  <si>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</si>
  <si>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</si>
  <si>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</si>
  <si>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</si>
  <si>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</si>
  <si>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</si>
  <si>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</si>
  <si>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</si>
  <si>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</si>
  <si>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</si>
  <si>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</si>
  <si>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</si>
  <si>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</si>
  <si>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</si>
  <si>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</si>
  <si>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</si>
  <si>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</si>
  <si>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</si>
  <si>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</si>
  <si>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</si>
  <si>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</si>
  <si>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</si>
  <si>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</si>
  <si>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</si>
  <si>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</si>
  <si>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</si>
  <si>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</si>
  <si>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</si>
  <si>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</si>
  <si>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</si>
  <si>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</si>
  <si>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</si>
  <si>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</si>
  <si>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</si>
  <si>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</si>
  <si>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</si>
  <si>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</si>
  <si>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</si>
  <si>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</si>
  <si>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</si>
  <si>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</si>
  <si>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</si>
  <si>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</si>
  <si>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</si>
  <si>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</si>
  <si>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</si>
  <si>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</si>
  <si>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</si>
  <si>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</si>
  <si>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</si>
  <si>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</si>
  <si>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</si>
  <si>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</si>
  <si>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</si>
  <si>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</si>
  <si>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</si>
  <si>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</si>
  <si>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</si>
  <si>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</si>
  <si>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</si>
  <si>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</si>
  <si>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</si>
  <si>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</si>
  <si>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</si>
  <si>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</si>
  <si>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</si>
  <si>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</si>
  <si>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</si>
  <si>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</si>
  <si>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</si>
  <si>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</si>
  <si>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</si>
  <si>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</si>
  <si>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</si>
  <si>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</si>
  <si>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</si>
  <si>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</si>
  <si>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</si>
  <si>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</si>
  <si>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</si>
  <si>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</si>
  <si>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</si>
  <si>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</si>
  <si>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</si>
  <si>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</si>
  <si>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</si>
  <si>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</si>
  <si>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</si>
  <si>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</si>
  <si>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</si>
  <si>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</si>
  <si>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</si>
  <si>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</si>
  <si>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</si>
  <si>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</si>
  <si>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</si>
  <si>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</si>
  <si>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</si>
  <si>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</si>
  <si>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</si>
  <si>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</si>
  <si>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</si>
  <si>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</si>
  <si>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</si>
  <si>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</si>
  <si>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</si>
  <si>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</si>
  <si>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</si>
  <si>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</si>
  <si>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</si>
  <si>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</si>
  <si>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</si>
  <si>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</si>
  <si>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</si>
  <si>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</si>
  <si>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</si>
  <si>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</si>
  <si>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</si>
  <si>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</si>
  <si>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</si>
  <si>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</si>
  <si>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</si>
  <si>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</si>
  <si>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</si>
  <si>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</si>
  <si>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</si>
  <si>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</si>
  <si>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</si>
  <si>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</si>
  <si>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</si>
  <si>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</si>
  <si>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</si>
  <si>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</si>
  <si>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</si>
  <si>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</si>
  <si>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</si>
  <si>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</si>
  <si>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</si>
  <si>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</si>
  <si>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</si>
  <si>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</si>
  <si>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</si>
  <si>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</si>
  <si>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</si>
  <si>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</si>
  <si>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</si>
  <si>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</si>
  <si>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</si>
  <si>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</si>
  <si>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</si>
  <si>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</si>
  <si>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</si>
  <si>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</si>
  <si>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</si>
  <si>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</si>
  <si>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</si>
  <si>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</si>
  <si>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</si>
  <si>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</si>
  <si>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</si>
  <si>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</si>
  <si>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</si>
  <si>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</si>
  <si>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</si>
  <si>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</si>
  <si>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</si>
  <si>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</si>
  <si>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</si>
  <si>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</si>
  <si>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</si>
  <si>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</si>
  <si>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</si>
  <si>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</si>
  <si>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</si>
  <si>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</si>
  <si>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</si>
  <si>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</si>
  <si>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</si>
  <si>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</si>
  <si>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</si>
  <si>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</si>
  <si>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</si>
  <si>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</si>
  <si>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</si>
  <si>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</si>
  <si>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</si>
  <si>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</si>
  <si>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</si>
  <si>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</si>
  <si>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</si>
  <si>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</si>
  <si>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</si>
  <si>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</si>
  <si>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</si>
  <si>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</si>
  <si>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</si>
  <si>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</si>
  <si>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</si>
  <si>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</si>
  <si>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</si>
  <si>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</si>
  <si>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</si>
  <si>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</si>
  <si>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</si>
  <si>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</si>
  <si>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</si>
  <si>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</si>
  <si>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</si>
  <si>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</si>
  <si>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</si>
  <si>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</si>
  <si>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</si>
  <si>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</si>
  <si>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</si>
  <si>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</si>
  <si>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</si>
  <si>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</si>
  <si>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</si>
  <si>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</si>
  <si>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</si>
  <si>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</si>
  <si>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</si>
  <si>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</si>
  <si>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</si>
  <si>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</si>
  <si>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</si>
  <si>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</si>
  <si>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</si>
  <si>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</si>
  <si>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</si>
  <si>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</si>
  <si>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</si>
  <si>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</si>
  <si>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</si>
  <si>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</si>
  <si>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</si>
  <si>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</si>
  <si>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</si>
  <si>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</si>
  <si>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</si>
  <si>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</si>
  <si>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</si>
  <si>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</si>
  <si>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</si>
  <si>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</si>
  <si>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</si>
  <si>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</si>
  <si>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</si>
  <si>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</si>
  <si>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</si>
  <si>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</si>
  <si>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</si>
  <si>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</si>
  <si>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</si>
  <si>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</si>
  <si>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</si>
  <si>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</si>
  <si>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</si>
  <si>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</si>
  <si>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</si>
  <si>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</si>
  <si>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</si>
  <si>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</si>
  <si>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</si>
  <si>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</si>
  <si>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</si>
  <si>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</si>
  <si>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</si>
  <si>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</si>
  <si>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</si>
  <si>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</si>
  <si>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</si>
  <si>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</si>
  <si>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</si>
  <si>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</si>
  <si>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</si>
  <si>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</si>
  <si>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</si>
  <si>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</si>
  <si>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</si>
  <si>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</si>
  <si>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</si>
  <si>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</si>
  <si>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</si>
  <si>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</si>
  <si>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</si>
  <si>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</si>
  <si>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</si>
  <si>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</si>
  <si>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</si>
  <si>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</si>
  <si>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</si>
  <si>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</si>
  <si>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</si>
  <si>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</si>
  <si>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</si>
  <si>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</si>
  <si>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</si>
  <si>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</si>
  <si>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</si>
  <si>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</si>
  <si>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</si>
  <si>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</si>
  <si>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</si>
  <si>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</si>
  <si>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</si>
  <si>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</si>
  <si>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</si>
  <si>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</si>
  <si>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</si>
  <si>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</si>
  <si>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</si>
  <si>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</si>
  <si>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</si>
  <si>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</si>
  <si>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</si>
  <si>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</si>
  <si>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</si>
  <si>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</si>
  <si>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</si>
  <si>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</si>
  <si>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</si>
  <si>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</si>
  <si>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</si>
  <si>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</si>
  <si>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</si>
  <si>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</si>
  <si>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</si>
  <si>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</si>
  <si>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</si>
  <si>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</si>
  <si>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</si>
  <si>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</si>
  <si>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</si>
  <si>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</si>
  <si>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</si>
  <si>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</si>
  <si>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</si>
  <si>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</si>
  <si>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</si>
  <si>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</si>
  <si>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</si>
  <si>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</si>
  <si>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</si>
  <si>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</si>
  <si>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</si>
  <si>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</si>
  <si>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</si>
  <si>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</si>
  <si>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</si>
  <si>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</si>
  <si>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</si>
  <si>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</si>
  <si>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</si>
  <si>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</si>
  <si>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</si>
  <si>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</si>
  <si>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</si>
  <si>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</si>
  <si>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</si>
  <si>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</si>
  <si>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</si>
  <si>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</si>
  <si>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</si>
  <si>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</si>
  <si>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</si>
  <si>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</si>
  <si>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</si>
  <si>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</si>
  <si>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</si>
  <si>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</si>
  <si>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</si>
  <si>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</si>
  <si>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</si>
  <si>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</si>
  <si>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</si>
  <si>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</si>
  <si>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</si>
  <si>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</si>
  <si>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</si>
  <si>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</si>
  <si>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</si>
  <si>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</si>
  <si>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</si>
  <si>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</si>
  <si>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</si>
  <si>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</si>
  <si>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</si>
  <si>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</si>
  <si>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</si>
  <si>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</si>
  <si>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</si>
  <si>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</si>
  <si>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</si>
  <si>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</si>
  <si>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</si>
  <si>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</si>
  <si>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</si>
  <si>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</si>
  <si>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</si>
  <si>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</si>
  <si>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</si>
  <si>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</si>
  <si>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</si>
  <si>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</si>
  <si>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</si>
  <si>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</si>
  <si>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</si>
  <si>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</si>
  <si>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</si>
  <si>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</si>
  <si>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</si>
  <si>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</si>
  <si>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</si>
  <si>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</si>
  <si>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</si>
  <si>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</si>
  <si>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</si>
  <si>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</si>
  <si>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</si>
  <si>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</si>
  <si>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</si>
  <si>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</si>
  <si>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</si>
  <si>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</si>
  <si>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</si>
  <si>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</si>
  <si>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</si>
  <si>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</si>
  <si>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</si>
  <si>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</si>
  <si>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</si>
  <si>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</si>
  <si>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</si>
  <si>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</si>
  <si>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</si>
  <si>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</si>
  <si>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</si>
  <si>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</si>
  <si>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</si>
  <si>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</si>
  <si>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</si>
  <si>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</si>
  <si>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</si>
  <si>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</si>
  <si>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</si>
  <si>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</si>
  <si>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</si>
  <si>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</si>
  <si>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</si>
  <si>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</si>
  <si>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</si>
  <si>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</si>
  <si>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</si>
  <si>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</si>
  <si>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</si>
  <si>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</si>
  <si>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</si>
  <si>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</si>
  <si>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</si>
  <si>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</si>
  <si>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</si>
  <si>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</si>
  <si>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</si>
  <si>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</si>
  <si>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</si>
  <si>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</si>
  <si>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</si>
  <si>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</si>
  <si>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</si>
  <si>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</si>
  <si>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</si>
  <si>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</si>
  <si>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</si>
  <si>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</si>
  <si>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</si>
  <si>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</si>
  <si>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</si>
  <si>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</si>
  <si>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</si>
  <si>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</si>
  <si>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</si>
  <si>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</si>
  <si>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</si>
  <si>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</si>
  <si>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</si>
  <si>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</si>
  <si>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</si>
  <si>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</si>
  <si>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</si>
  <si>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</si>
  <si>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</si>
  <si>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</si>
  <si>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</si>
  <si>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</si>
  <si>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</si>
  <si>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</si>
  <si>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</si>
  <si>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</si>
  <si>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</si>
  <si>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</si>
  <si>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</si>
  <si>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</si>
  <si>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</si>
  <si>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</si>
  <si>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</si>
  <si>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</si>
  <si>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</si>
  <si>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</si>
  <si>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</si>
  <si>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</si>
  <si>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</si>
  <si>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</si>
  <si>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</si>
  <si>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</si>
  <si>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</si>
  <si>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</si>
  <si>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</si>
  <si>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</si>
  <si>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</si>
  <si>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</si>
  <si>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</si>
  <si>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</si>
  <si>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</si>
  <si>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</si>
  <si>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</si>
  <si>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</si>
  <si>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</si>
  <si>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</si>
  <si>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</si>
  <si>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</si>
  <si>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</si>
  <si>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</si>
  <si>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</si>
  <si>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</si>
  <si>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</si>
  <si>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</si>
  <si>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</si>
  <si>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</si>
  <si>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</si>
  <si>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</si>
  <si>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</si>
  <si>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</si>
  <si>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</si>
  <si>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</si>
  <si>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</si>
  <si>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</si>
  <si>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</si>
  <si>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</si>
  <si>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</si>
  <si>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</si>
  <si>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</si>
  <si>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</si>
  <si>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</si>
  <si>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</si>
  <si>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</si>
  <si>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</si>
  <si>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</si>
  <si>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</si>
  <si>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</si>
  <si>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</si>
  <si>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</si>
  <si>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</si>
  <si>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</si>
  <si>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</si>
  <si>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</si>
  <si>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</si>
  <si>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</si>
  <si>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</si>
  <si>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</si>
  <si>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</si>
  <si>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</si>
  <si>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</si>
  <si>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</si>
  <si>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</si>
  <si>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</si>
  <si>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</si>
  <si>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</si>
  <si>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</si>
  <si>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</si>
  <si>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</si>
  <si>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</si>
  <si>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</si>
  <si>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</si>
  <si>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</si>
  <si>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</si>
  <si>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</si>
  <si>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</si>
  <si>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</si>
  <si>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</si>
  <si>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</si>
  <si>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</si>
  <si>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</si>
  <si>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</si>
  <si>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</si>
  <si>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</si>
  <si>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</si>
  <si>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</si>
  <si>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</si>
  <si>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</si>
  <si>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</si>
  <si>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</si>
  <si>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</si>
  <si>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</si>
  <si>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</si>
  <si>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</si>
  <si>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</si>
  <si>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</si>
  <si>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</si>
  <si>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</si>
  <si>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</si>
  <si>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</si>
  <si>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</si>
  <si>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</si>
  <si>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</si>
  <si>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</si>
  <si>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</si>
  <si>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</si>
  <si>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</si>
  <si>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</si>
  <si>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</si>
  <si>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</si>
  <si>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</si>
  <si>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</si>
  <si>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</si>
  <si>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</si>
  <si>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</si>
  <si>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</si>
  <si>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</si>
  <si>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</si>
  <si>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</si>
  <si>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</si>
  <si>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</si>
  <si>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</si>
  <si>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</si>
  <si>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</si>
  <si>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</si>
  <si>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</si>
  <si>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</si>
  <si>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</si>
  <si>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</si>
  <si>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</si>
  <si>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</si>
  <si>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</si>
  <si>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</si>
  <si>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</si>
  <si>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</si>
  <si>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</si>
  <si>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</si>
  <si>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</si>
  <si>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</si>
  <si>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</si>
  <si>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</si>
  <si>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</si>
  <si>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</si>
  <si>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</si>
  <si>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</si>
  <si>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</si>
  <si>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</si>
  <si>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</si>
  <si>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</si>
  <si>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</si>
  <si>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</si>
  <si>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</si>
  <si>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</si>
  <si>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</si>
  <si>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</si>
  <si>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</si>
  <si>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</si>
  <si>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</si>
  <si>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</si>
  <si>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</si>
  <si>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</si>
  <si>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</si>
  <si>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</si>
  <si>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</si>
  <si>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</si>
  <si>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</si>
  <si>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</si>
  <si>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</si>
  <si>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</si>
  <si>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</si>
  <si>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</si>
  <si>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</si>
  <si>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</si>
  <si>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</si>
  <si>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</si>
  <si>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</si>
  <si>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</si>
  <si>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</si>
  <si>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</si>
  <si>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</si>
  <si>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</si>
  <si>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</si>
  <si>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</si>
  <si>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</si>
  <si>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</si>
  <si>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</si>
  <si>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</si>
  <si>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</si>
  <si>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</si>
  <si>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</si>
  <si>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</si>
  <si>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</si>
  <si>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</si>
  <si>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</si>
  <si>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</si>
  <si>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</si>
  <si>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</si>
  <si>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</si>
  <si>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</si>
  <si>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</si>
  <si>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</si>
  <si>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</si>
  <si>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</si>
  <si>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</si>
  <si>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</si>
  <si>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t>
  </si>
  <si>
    <t>ANTICIPO FINANCIERO/ACOPIO:</t>
  </si>
  <si>
    <t>RUBRO ITEM</t>
  </si>
  <si>
    <t>1-</t>
  </si>
  <si>
    <t>2-</t>
  </si>
  <si>
    <t>3-</t>
  </si>
  <si>
    <t>4-</t>
  </si>
  <si>
    <t>5-</t>
  </si>
  <si>
    <t>CODIGO</t>
  </si>
  <si>
    <t>DESCRIPCION</t>
  </si>
  <si>
    <t>LISTADO DE INSUMOS - MANO DE OBRA, MATERIALES Y EQUIPOS - PARA LA OBRA</t>
  </si>
  <si>
    <t>DEP-EQ</t>
  </si>
  <si>
    <t>INGRESOS BRUTOS Y LOTE HOGAR</t>
  </si>
  <si>
    <t>BENEFICIO</t>
  </si>
  <si>
    <t>GASTOS GENERALES</t>
  </si>
  <si>
    <t>PRECIO TOTAL DEL ITEM</t>
  </si>
  <si>
    <t>FIN</t>
  </si>
  <si>
    <t>Anticipo Financiero</t>
  </si>
  <si>
    <t>DENOMINACIÓN INSUMO</t>
  </si>
  <si>
    <t>Total Gastos Generales de Obra</t>
  </si>
  <si>
    <t>INSTITUTO PROVINCIAL DE LA VIVIENDA</t>
  </si>
  <si>
    <t>CANTIDAD VIVIENDAS</t>
  </si>
  <si>
    <t>A</t>
  </si>
  <si>
    <t>B</t>
  </si>
  <si>
    <t>MONTO TOTAL DE OBRA</t>
  </si>
  <si>
    <t>PROTOTIPO:</t>
  </si>
  <si>
    <t>COEFICIENTE DE PASO VIVIENDA</t>
  </si>
  <si>
    <t>COEFICIENTE DE PASO INFRAESTRUCTURA</t>
  </si>
  <si>
    <t>PLAN DE TRABAJO</t>
  </si>
  <si>
    <t>AVANCE PORCENTUAL OBRA</t>
  </si>
  <si>
    <t>CURVA DE INVERSIÓN</t>
  </si>
  <si>
    <t>AVANCE MONETARIO OBRA</t>
  </si>
  <si>
    <t>INFRAESTRUCTURA</t>
  </si>
  <si>
    <t>MONTO DEL TERRENO</t>
  </si>
  <si>
    <t>MONTO TERRENO</t>
  </si>
  <si>
    <t>VIVIENDA</t>
  </si>
  <si>
    <t>RUBROS</t>
  </si>
  <si>
    <t>REFERENCIA DE COLORES</t>
  </si>
  <si>
    <t>NO SE DEBE MODIFICAR</t>
  </si>
  <si>
    <t>SE DEBEN CARGAR LOS DATOS DE LA OBRA</t>
  </si>
  <si>
    <t>DATOS OPTATIVOS POR EL MOMENTO</t>
  </si>
  <si>
    <t>SE RECOMIENDA NO MODIFICAR YA QUE SON FÓRMULAS PARA AYUDA DE LOS CONTRATISTAS</t>
  </si>
  <si>
    <t>Se sugiere no agregar columnas en las planillas por lo que el sistema va a buscar los datos específicamente en las celdas señaladas.</t>
  </si>
  <si>
    <t>La numeración de los items debe ser correlativa, seguida y sin salteos. No puede exixtir un item cuyo valor sea 0 (cero)</t>
  </si>
  <si>
    <t>u</t>
  </si>
  <si>
    <t>Excavación no clasificada</t>
  </si>
  <si>
    <t>Arbolado público</t>
  </si>
  <si>
    <t>COSTO UNITARIO</t>
  </si>
  <si>
    <t>PRECIO UNITARIO</t>
  </si>
  <si>
    <t>COSTO FINANCIERO</t>
  </si>
  <si>
    <t>INGRESO DESIGNACIÓN SIN CODIFICACIÓN</t>
  </si>
  <si>
    <t>INGRESO DESIGNACIÓN POR
CÓDIGO RUBRO - ÍTEM</t>
  </si>
  <si>
    <t>DESIGNACIÓN ITEM</t>
  </si>
  <si>
    <t>LISTADO DE ÍTEMS DEL PROYECTO</t>
  </si>
  <si>
    <t>IVA - VIVIENDA</t>
  </si>
  <si>
    <t>IVA - INFRAESTRUCTURA</t>
  </si>
  <si>
    <t>CANTIDAD:</t>
  </si>
  <si>
    <t>DATOS PROTOTIPO P1</t>
  </si>
  <si>
    <t>PRECIO TOTAL</t>
  </si>
  <si>
    <t>COSTO COSTO ( 1 + 2 )</t>
  </si>
  <si>
    <t>SUB TOTAL ( 3 + 4 + 5 )</t>
  </si>
  <si>
    <t>7-</t>
  </si>
  <si>
    <t>8-</t>
  </si>
  <si>
    <t>COSTO OFERTA</t>
  </si>
  <si>
    <t>III</t>
  </si>
  <si>
    <t>OBRAS DE VIVIENDA</t>
  </si>
  <si>
    <t>Preparación de terreno y replanteo</t>
  </si>
  <si>
    <t>HORMIGON SIMPLE</t>
  </si>
  <si>
    <t>Hormigón de limpieza - e=5cm</t>
  </si>
  <si>
    <t>Hormigón de limpieza e=5cm - incluye aislación c/ salitre</t>
  </si>
  <si>
    <t>Hormigón ciclopeo para cimientos</t>
  </si>
  <si>
    <t>Bases de hormigón simple</t>
  </si>
  <si>
    <t>Platea de fundación</t>
  </si>
  <si>
    <t>Losas macizas</t>
  </si>
  <si>
    <t>Base tanque de reserva - incluido cierre base</t>
  </si>
  <si>
    <t>Capa aisladora vertical</t>
  </si>
  <si>
    <t>Aislación térmica e hidráulica</t>
  </si>
  <si>
    <t>Aislación hidráulica - Voladizos, Balcones, Terrazas, otros</t>
  </si>
  <si>
    <t>PISOS</t>
  </si>
  <si>
    <t>ZOCALOS</t>
  </si>
  <si>
    <t>TECHOS LIVIANOS</t>
  </si>
  <si>
    <t>De madera - inlcuido estructura, protección y aislación</t>
  </si>
  <si>
    <t>0026</t>
  </si>
  <si>
    <t>RED AGUA POTABLE</t>
  </si>
  <si>
    <t>Cañería PVC K10 Ø 75</t>
  </si>
  <si>
    <t>Válvula exclusa ø 110</t>
  </si>
  <si>
    <t>Hidrantes a bola</t>
  </si>
  <si>
    <t>Conexión domiciliaria Ø 20 mm.</t>
  </si>
  <si>
    <t>0051</t>
  </si>
  <si>
    <t>RED DE CLOACA</t>
  </si>
  <si>
    <t>Cañería PVC - RCP Ø160mm</t>
  </si>
  <si>
    <t>Bocas de Registros</t>
  </si>
  <si>
    <t>Conexiones domiciliarias Ø 160 mm.</t>
  </si>
  <si>
    <t>0052</t>
  </si>
  <si>
    <t>RED DE GAS NATURAL</t>
  </si>
  <si>
    <t>Cañería PPL Ø 50mm Esp 4,60 mm</t>
  </si>
  <si>
    <t>Cañería PPL Ø 63mm Esp 5,80 mm</t>
  </si>
  <si>
    <t>Conexión Domiciliaria</t>
  </si>
  <si>
    <t>Red externa de gas - conexión tramo correspondiente  a calle proy. 1</t>
  </si>
  <si>
    <t>0053</t>
  </si>
  <si>
    <t>ALUMBRADO PÚBLICO</t>
  </si>
  <si>
    <t>Red Alumbrado Público</t>
  </si>
  <si>
    <t>Iluminación espacios verdes</t>
  </si>
  <si>
    <t>Extracción de postes de iluminación - cantidad 11</t>
  </si>
  <si>
    <t>0054</t>
  </si>
  <si>
    <t>URBANIZACIÓN</t>
  </si>
  <si>
    <t>Limpieza de terreno - incluye demolición y erradicación de árboles</t>
  </si>
  <si>
    <t>Ejecución de base</t>
  </si>
  <si>
    <t>Ejecución de cunetas  en tierra</t>
  </si>
  <si>
    <t>Ejecución de cuneta impermeabilizada y obra de toma</t>
  </si>
  <si>
    <t>Indicadores de calles</t>
  </si>
  <si>
    <t>Vertices de lote</t>
  </si>
  <si>
    <t>Construcción de pasante vehicular SJ-320</t>
  </si>
  <si>
    <t>Pedraplen bajo vereda</t>
  </si>
  <si>
    <t>Pedraplen bajo vivienda</t>
  </si>
  <si>
    <t>Terraplen bajo vivienda</t>
  </si>
  <si>
    <t>Puentes peatonales</t>
  </si>
  <si>
    <t>Puentes de acceso vehicular</t>
  </si>
  <si>
    <t>Ejecución veredas municipales</t>
  </si>
  <si>
    <t>Rellenos en  lotes</t>
  </si>
  <si>
    <t>Espacios verdes</t>
  </si>
  <si>
    <t>0055</t>
  </si>
  <si>
    <t>OBRAS COMPLEMENTARIAS</t>
  </si>
  <si>
    <t>Demolicion de viviendas existentes</t>
  </si>
  <si>
    <t>Construcción sifón sistema hidraulico</t>
  </si>
  <si>
    <t>unid.</t>
  </si>
  <si>
    <t>Impermeabilización ramo regador</t>
  </si>
  <si>
    <t>0056</t>
  </si>
  <si>
    <t>DOCUMENTACIÓN FINAL</t>
  </si>
  <si>
    <t>Documentación Final de Obra</t>
  </si>
  <si>
    <t>Documentación final de obra - 3% Monto Total de la Obra</t>
  </si>
  <si>
    <t>m</t>
  </si>
  <si>
    <t>OBRA</t>
  </si>
  <si>
    <t>DATOS PROTOTIPO P2</t>
  </si>
  <si>
    <t>DATOS PROTOTIPO P3</t>
  </si>
  <si>
    <t>UBICACIÓN</t>
  </si>
  <si>
    <t>COSTO OBRA ( 1 + 2 )</t>
  </si>
  <si>
    <t>xxxxxx</t>
  </si>
  <si>
    <t>Alumbrado Público</t>
  </si>
  <si>
    <t>UNIDAD</t>
  </si>
  <si>
    <t>$ Un.</t>
  </si>
  <si>
    <t>MANO DE OBRA</t>
  </si>
  <si>
    <t>EQUIPOS</t>
  </si>
  <si>
    <t>MATERIALES</t>
  </si>
  <si>
    <t>ELECTRICIDAD</t>
  </si>
  <si>
    <t>INSTALACION SANITARIA</t>
  </si>
  <si>
    <t>INSTALACION DE GAS</t>
  </si>
  <si>
    <t>RED CLOACA</t>
  </si>
  <si>
    <t>ALUMBRADO PUBLICO</t>
  </si>
  <si>
    <t>URBANIZACION</t>
  </si>
  <si>
    <t xml:space="preserve">                                                                                                       ANALISIS DE PRECIOS</t>
  </si>
  <si>
    <t>PRECIOS OFERTA A:</t>
  </si>
  <si>
    <t>xxxxxxx</t>
  </si>
  <si>
    <t>A- )</t>
  </si>
  <si>
    <t>VIVIENDAS</t>
  </si>
  <si>
    <t>SUB TOTAL VIVIENDAS</t>
  </si>
  <si>
    <t>B- )</t>
  </si>
  <si>
    <t>Urbanizacion</t>
  </si>
  <si>
    <t>Red Cloacas ( red externa + conexiones domiciliarias )</t>
  </si>
  <si>
    <t>Red Agua Potable ( red externa + conexiones domiciliarias )</t>
  </si>
  <si>
    <t>SUBTOTAL COSTOS DIRECTOS</t>
  </si>
  <si>
    <t>Subtotal</t>
  </si>
  <si>
    <t>BENEFICIOS</t>
  </si>
  <si>
    <t>IMPUESTOS</t>
  </si>
  <si>
    <t>I.V.A VIVIENDA</t>
  </si>
  <si>
    <t>INGRESOS BRUTOS VIVIENDA</t>
  </si>
  <si>
    <t>I.V.A INFRAESTRUTURA</t>
  </si>
  <si>
    <t>INGRESOS BRUTOS INFRAESTRUTURA</t>
  </si>
  <si>
    <t xml:space="preserve">TOTAL VIVIENDAS </t>
  </si>
  <si>
    <t>MONTO TOTAL DE LA OFERTA</t>
  </si>
  <si>
    <t>Importante:</t>
  </si>
  <si>
    <t>Los cómputos son indicativos.</t>
  </si>
  <si>
    <t>Los proponentes deberán verificar los cómputos oficiales.</t>
  </si>
  <si>
    <t>Curva Máxima</t>
  </si>
  <si>
    <t>Curva Mínima</t>
  </si>
  <si>
    <t>Flete</t>
  </si>
  <si>
    <t>Red de cloacas - Provisión, acarreo y colocación de caño de PVC RCP ø160 mm, incl. piezas esp. juntas, etc.</t>
  </si>
  <si>
    <t xml:space="preserve">Red de cloacas - Provisión, acarreo y coloc. materiales  p/la ejecución de Bocas de Registros s/calle, incl. tapa de HF, etc. </t>
  </si>
  <si>
    <t>Red de cloacas - Excavación de zanjas para inst. cañeías, sin depresión de napa</t>
  </si>
  <si>
    <t>Red de cloacas - Paquete estructural</t>
  </si>
  <si>
    <t>Red de cloacas - Relleno superior</t>
  </si>
  <si>
    <t>Red de agua potable - Provisión, acarreo y colocación de hidrantes a bola, completos, (Incluye caja de HF y Const. de cámara)</t>
  </si>
  <si>
    <t>Red de agua potable - Excavación de zanjas para inst. cañeías, sin depresión de napa</t>
  </si>
  <si>
    <t>Red de agua potable - Paquete estructural</t>
  </si>
  <si>
    <t xml:space="preserve">Red de agua potable - Relleno superior </t>
  </si>
  <si>
    <t>Red de agua potable - Conexiones domiciliarias agua potable (Provisión, acarreo y coloc. mat. polietileno k10-abrazadera, férula, llave maestra y medidor de caudal, incl UV)</t>
  </si>
  <si>
    <t>Espacio Verde</t>
  </si>
  <si>
    <t xml:space="preserve">Alumbrado Espacio Verde </t>
  </si>
  <si>
    <t>Terminación y limpieza de obra</t>
  </si>
  <si>
    <t>G (PB)</t>
  </si>
  <si>
    <t>F (PRIMER PISO)</t>
  </si>
  <si>
    <t>DATOS PROTOTIPO P4</t>
  </si>
  <si>
    <t>H (PRIMER PISO)</t>
  </si>
  <si>
    <t>DATOS PROTOTIPO P5</t>
  </si>
  <si>
    <t>DATOS PROTOTIPO P6</t>
  </si>
  <si>
    <t>|</t>
  </si>
  <si>
    <t>G (PRIMER PISO)</t>
  </si>
  <si>
    <t>G (SEGUNDO PISO)</t>
  </si>
  <si>
    <t>DATOS PROTOTIPO P7</t>
  </si>
  <si>
    <t>DATOS ESPACIOS COMUNES</t>
  </si>
  <si>
    <t>ESPACIO COMUN</t>
  </si>
  <si>
    <t>ha</t>
  </si>
  <si>
    <t>TOTAL OBRAS INFRAESTRUCTURA + URBANIZACION + DOC. FINAL DE OBRA + OBRAS DE NEXO</t>
  </si>
  <si>
    <t>INFRAESTRUCTURA + URBANIZACION + DOC. FINAL DE OBRA + OBRAS DE NEXOS</t>
  </si>
  <si>
    <t>SUB TOTAL INFRAESTRUCTURA + URBANIZACION + DOC. DE OBRA + OBRAS DE NEXOS</t>
  </si>
  <si>
    <t>Jaharro b/ revestimiento cerámico</t>
  </si>
  <si>
    <t>Jaharro y Enlucido a la cal (interior)</t>
  </si>
  <si>
    <t>Pintura látex interior en cielorrasos</t>
  </si>
  <si>
    <t>Provisión y colocación de cristal float 3mm</t>
  </si>
  <si>
    <t>Provisión y colocación de cristal float 4mm</t>
  </si>
  <si>
    <t>Instalación de Gas (Incl. Cocina 4 hornallas c/horno)</t>
  </si>
  <si>
    <t>Red de agua potable - Provisión, acarreo y colocación de caño recto Ø110mm de PVC k-10, incl. piezas esp. juntas, etc.</t>
  </si>
  <si>
    <t>C</t>
  </si>
  <si>
    <t>SUB TOTALOBRAS COMPLEMENTARIAS</t>
  </si>
  <si>
    <t>INFRAESTRUCTURA - URBANIZACIÓN - DOC. FINAL DE OBRA - OBRAS DE NEXO - OBRAS COMPLEMENTARIAS</t>
  </si>
  <si>
    <t>00/00/0000</t>
  </si>
  <si>
    <t>DATOS URBANIZACIÓN - NEXO - DOCUMENTACIÓN FINAL DE OBRA - OBRA COMPLEMENTARIA</t>
  </si>
  <si>
    <t>Limpieza de terreno y replanteo</t>
  </si>
  <si>
    <t>Excavación de Cimientos</t>
  </si>
  <si>
    <t xml:space="preserve">Relleno Bajo Contrapiso </t>
  </si>
  <si>
    <t>Hormigón de limpieza</t>
  </si>
  <si>
    <t>Dado Fundación  h=15cm</t>
  </si>
  <si>
    <t>Vigas de Encadenado Inferior - Fundación  H 17</t>
  </si>
  <si>
    <t>Columna de Encadenado (incluye tronco de columna)</t>
  </si>
  <si>
    <t>Vigas de Encadenado Superior, Dintel y de Carga</t>
  </si>
  <si>
    <t>Losa de Hormigón Armado</t>
  </si>
  <si>
    <t>Tanque de Reserva (incluido cierre base tanque)</t>
  </si>
  <si>
    <t>Capa aisladora horizontal  18cm</t>
  </si>
  <si>
    <t xml:space="preserve">Mampostería Ladrillón Cerámico Macizo (soga) </t>
  </si>
  <si>
    <t>Tabique  Liviano  tipo Durlock ( con placa de yeso de 12,5 mm para sectores húmedos)</t>
  </si>
  <si>
    <t>Techo de Madera (rollizo Ø 16cm, machimbre 3/4", pintura asfáltica, polietileno de 200 micrones, barniz protector insecticida )</t>
  </si>
  <si>
    <t>Cubierta de Techo Aislación Térmica e Hidráulica</t>
  </si>
  <si>
    <t>Contrapiso  Interior</t>
  </si>
  <si>
    <t>Carpeta bajo Cerámico e=4cm</t>
  </si>
  <si>
    <t>Piso baldosa cerámica (incluido umbrales)</t>
  </si>
  <si>
    <t>Contrapisos de Veredín perimetral, vereda de acceso y galería</t>
  </si>
  <si>
    <t>Zócalo cerámico - esp.= 7cm</t>
  </si>
  <si>
    <t>Carpinterías metálica, aluminio y madera</t>
  </si>
  <si>
    <t>Salpicado Plástico Incluido Jaharro</t>
  </si>
  <si>
    <t>Mesadas, campana y ventilaciones (incluida mesada exterior)</t>
  </si>
  <si>
    <t>Mesadas, campana y ventilaciones p/ disc.(incluida mesada exterior)</t>
  </si>
  <si>
    <t>Antepechos de H° Armado con goterón bajo nariz de 2cm</t>
  </si>
  <si>
    <t>Látex muro interior/exterior</t>
  </si>
  <si>
    <t>Pérgolas (Frente y Fondo)  - Incluye Base de Hormigón Simple H 13</t>
  </si>
  <si>
    <t xml:space="preserve">Instalación sanitaria (incl. cañería base, distrib. AF-AC, artefactos y grifería) </t>
  </si>
  <si>
    <t xml:space="preserve">Instalación sanitaria p/ disc.(incl. cañería base, distrib. AF-AC, artefactos y grifería) </t>
  </si>
  <si>
    <t>Calefón Solar - Termosifónico - Captador por tubo de vacío</t>
  </si>
  <si>
    <t>Instalación de gas - Gabinete para tubos</t>
  </si>
  <si>
    <t>Instalación eléctrica (incl.pilastra,proc.cañerias p/3AA,y preveer espacios en tablero gral. p/llaves termomagnéticas corresp. Portalámparas 3 cuerpos)</t>
  </si>
  <si>
    <t>28.1</t>
  </si>
  <si>
    <t>37.1</t>
  </si>
  <si>
    <t>Cimiento Ciclópeo H 13</t>
  </si>
  <si>
    <t>M 17</t>
  </si>
  <si>
    <t>M1 17</t>
  </si>
  <si>
    <t xml:space="preserve">Limpieza de Terreno, destronques y erradicación de árboles </t>
  </si>
  <si>
    <t>Excavación no Clasificada</t>
  </si>
  <si>
    <t>Ejecución de base (0,25)</t>
  </si>
  <si>
    <t>Ejecución de cunetas en tierra</t>
  </si>
  <si>
    <t>Arbolado Público</t>
  </si>
  <si>
    <t>Ejecuciòn de Veredas Municipales</t>
  </si>
  <si>
    <t>Puentes Peatonales</t>
  </si>
  <si>
    <t>Puentes de acceso Vehicular</t>
  </si>
  <si>
    <t>Indicadores de Calles</t>
  </si>
  <si>
    <t>Vértices de Lotes</t>
  </si>
  <si>
    <t>Red de cloacas - Conexiones domiciliarias cloacas (Provisión, acarreo y coloc. materiales p/la ejecución s/red nueva)</t>
  </si>
  <si>
    <t>Obras Complementarias - Cierre Perimetral</t>
  </si>
  <si>
    <t>Espacio Verde 2</t>
  </si>
  <si>
    <t>Alumbrado Espacio Verde 2</t>
  </si>
  <si>
    <t>Documentación final de obra (minimo 3% Monto Total de la Obra)</t>
  </si>
  <si>
    <t>BARRIO JOSÉ AMÉRICO GRIMALT - SECTOR B</t>
  </si>
  <si>
    <t>DEPTO. ULLÚM</t>
  </si>
  <si>
    <t xml:space="preserve"> Viviendas - Prototipos M 17</t>
  </si>
  <si>
    <t xml:space="preserve"> Viviendas - Prototipos M1 17</t>
  </si>
  <si>
    <t>08/2019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</si>
</sst>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4" formatCode="_-&quot;$&quot;* #,##0.00_-;\-&quot;$&quot;* #,##0.00_-;_-&quot;$&quot;*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quot;$&quot;\ #,##0;\-&quot;$&quot;\ #,##0"/>
    <numFmt numFmtId="169" formatCode="&quot;$&quot;\ #,##0.00;\-&quot;$&quot;\ #,##0.00"/>
    <numFmt numFmtId="170" formatCode="_-&quot;$&quot;\ * #,##0.00_-;\-&quot;$&quot;\ * #,##0.00_-;_-&quot;$&quot;\ *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 &quot;viviendas&quot;"/>
    <numFmt numFmtId="189" formatCode="0.00000%"/>
    <numFmt numFmtId="190" formatCode="_(* #,##0.00_);_(* \(#,##0.00\);_(* &quot;-&quot;??_);_(@_)"/>
    <numFmt numFmtId="191" formatCode="&quot;$&quot;#,##0_);\(&quot;$&quot;#,##0\)"/>
    <numFmt numFmtId="192" formatCode="General_)"/>
    <numFmt numFmtId="193" formatCode="&quot;Obra: &quot;"/>
    <numFmt numFmtId="194" formatCode="0.0000"/>
    <numFmt numFmtId="195" formatCode="_ &quot;$&quot;\ * #,##0.0000000_ ;_ &quot;$&quot;\ * \-#,##0.0000000_ ;_ &quot;$&quot;\ * &quot;-&quot;??_ ;_ @_ "/>
    <numFmt numFmtId="196" formatCode="_ &quot;$&quot;\ * #,##0.0000_ ;_ &quot;$&quot;\ * \-#,##0.0000_ ;_ &quot;$&quot;\ * &quot;-&quot;??_ ;_ @_ "/>
    <numFmt numFmtId="197" formatCode="_ &quot;$&quot;\ * #,##0.000000000_ ;_ &quot;$&quot;\ * \-#,##0.000000000_ ;_ &quot;$&quot;\ * &quot;-&quot;??_ ;_ @_ "/>
    <numFmt numFmtId="198" formatCode="0.0000000%"/>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sz val="18"/>
      <color rgb="FF000000"/>
      <name val="Arial"/>
      <family val="2"/>
    </font>
    <font>
      <sz val="10"/>
      <name val="Arial"/>
      <family val="2"/>
    </font>
    <font>
      <b/>
      <u val="double"/>
      <sz val="10"/>
      <name val="Arial"/>
      <family val="2"/>
    </font>
    <font>
      <sz val="9"/>
      <color indexed="81"/>
      <name val="Tahoma"/>
      <family val="2"/>
    </font>
    <font>
      <b/>
      <sz val="11"/>
      <name val="Arial"/>
      <family val="2"/>
    </font>
    <font>
      <sz val="18"/>
      <name val="Arial"/>
      <family val="2"/>
    </font>
    <font>
      <sz val="16"/>
      <name val="Arial"/>
      <family val="2"/>
    </font>
    <font>
      <sz val="11"/>
      <name val="Arial"/>
      <family val="2"/>
    </font>
    <font>
      <b/>
      <sz val="28"/>
      <name val="Arial"/>
      <family val="2"/>
    </font>
    <font>
      <sz val="28"/>
      <name val="Arial"/>
      <family val="2"/>
    </font>
    <font>
      <sz val="22"/>
      <name val="Arial"/>
      <family val="2"/>
    </font>
    <font>
      <sz val="18"/>
      <color theme="1"/>
      <name val="Calibri"/>
      <family val="2"/>
      <scheme val="minor"/>
    </font>
    <font>
      <sz val="22"/>
      <color theme="1"/>
      <name val="Calibri"/>
      <family val="2"/>
      <scheme val="minor"/>
    </font>
  </fonts>
  <fills count="1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59999389629810485"/>
        <bgColor indexed="64"/>
      </patternFill>
    </fill>
  </fills>
  <borders count="56">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109">
    <xf numFmtId="0" fontId="0" fillId="0" borderId="0"/>
    <xf numFmtId="9" fontId="7" fillId="0" borderId="0" applyFont="0" applyFill="0" applyBorder="0" applyAlignment="0" applyProtection="0"/>
    <xf numFmtId="44" fontId="17" fillId="0" borderId="0" applyFont="0" applyFill="0" applyBorder="0" applyAlignment="0" applyProtection="0"/>
    <xf numFmtId="0" fontId="6" fillId="0" borderId="0"/>
    <xf numFmtId="9" fontId="6" fillId="0" borderId="0" applyFont="0" applyFill="0" applyBorder="0" applyAlignment="0" applyProtection="0"/>
    <xf numFmtId="0" fontId="19" fillId="0" borderId="0"/>
    <xf numFmtId="0" fontId="8" fillId="0" borderId="0"/>
    <xf numFmtId="0" fontId="21" fillId="0" borderId="0">
      <protection locked="0"/>
    </xf>
    <xf numFmtId="172" fontId="22" fillId="0" borderId="0">
      <protection locked="0"/>
    </xf>
    <xf numFmtId="172" fontId="22" fillId="0" borderId="0">
      <protection locked="0"/>
    </xf>
    <xf numFmtId="0" fontId="8" fillId="0" borderId="0" applyFont="0" applyFill="0" applyBorder="0" applyAlignment="0" applyProtection="0"/>
    <xf numFmtId="173" fontId="21" fillId="0" borderId="0">
      <protection locked="0"/>
    </xf>
    <xf numFmtId="174" fontId="21" fillId="0" borderId="0">
      <protection locked="0"/>
    </xf>
    <xf numFmtId="175" fontId="21" fillId="0" borderId="0">
      <protection locked="0"/>
    </xf>
    <xf numFmtId="0" fontId="23" fillId="0" borderId="0"/>
    <xf numFmtId="9" fontId="5"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167" fontId="8" fillId="0" borderId="0" applyFon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184" fontId="8"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5" fontId="8" fillId="0" borderId="0" applyFill="0" applyBorder="0" applyAlignment="0" applyProtection="0"/>
    <xf numFmtId="2" fontId="8" fillId="0" borderId="0" applyFill="0" applyBorder="0" applyAlignment="0" applyProtection="0"/>
    <xf numFmtId="167" fontId="29" fillId="0" borderId="0" applyFont="0" applyFill="0" applyBorder="0" applyAlignment="0" applyProtection="0"/>
    <xf numFmtId="186" fontId="8" fillId="0" borderId="0" applyFont="0" applyFill="0" applyBorder="0" applyAlignment="0" applyProtection="0"/>
    <xf numFmtId="167" fontId="29" fillId="0" borderId="0" applyFont="0" applyFill="0" applyBorder="0" applyAlignment="0" applyProtection="0"/>
    <xf numFmtId="43" fontId="3" fillId="0" borderId="0" applyFont="0" applyFill="0" applyBorder="0" applyAlignment="0" applyProtection="0"/>
    <xf numFmtId="166" fontId="29"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166" fontId="35" fillId="0" borderId="0" applyFont="0" applyFill="0" applyBorder="0" applyAlignment="0" applyProtection="0"/>
    <xf numFmtId="166" fontId="8" fillId="0" borderId="0" applyFont="0" applyFill="0" applyBorder="0" applyAlignment="0" applyProtection="0"/>
    <xf numFmtId="44" fontId="3" fillId="0" borderId="0" applyFont="0" applyFill="0" applyBorder="0" applyAlignment="0" applyProtection="0"/>
    <xf numFmtId="168"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6" fillId="0" borderId="0"/>
    <xf numFmtId="0" fontId="37" fillId="0" borderId="0"/>
    <xf numFmtId="0" fontId="36" fillId="0" borderId="0"/>
    <xf numFmtId="0" fontId="8" fillId="0" borderId="0"/>
    <xf numFmtId="0" fontId="38" fillId="0" borderId="0"/>
    <xf numFmtId="0" fontId="8" fillId="0" borderId="0"/>
    <xf numFmtId="0" fontId="8" fillId="0" borderId="0"/>
    <xf numFmtId="0" fontId="3" fillId="0" borderId="0"/>
    <xf numFmtId="0" fontId="3" fillId="0" borderId="0"/>
    <xf numFmtId="0" fontId="38"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9" fontId="2" fillId="0" borderId="0" applyFont="0" applyFill="0" applyBorder="0" applyAlignment="0" applyProtection="0"/>
    <xf numFmtId="167" fontId="40"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0" fontId="1" fillId="0" borderId="0"/>
    <xf numFmtId="0" fontId="1" fillId="0" borderId="0"/>
    <xf numFmtId="170"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91"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cellStyleXfs>
  <cellXfs count="652">
    <xf numFmtId="0" fontId="0" fillId="0" borderId="0" xfId="0"/>
    <xf numFmtId="0" fontId="6" fillId="0" borderId="0" xfId="3"/>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44" fontId="8" fillId="0" borderId="0" xfId="0" applyNumberFormat="1" applyFont="1" applyFill="1" applyBorder="1" applyAlignment="1" applyProtection="1">
      <alignment vertical="center"/>
      <protection hidden="1"/>
    </xf>
    <xf numFmtId="171" fontId="8" fillId="0" borderId="9" xfId="1" applyNumberFormat="1" applyFont="1" applyFill="1" applyBorder="1" applyAlignment="1" applyProtection="1">
      <alignment vertical="center"/>
      <protection hidden="1"/>
    </xf>
    <xf numFmtId="171" fontId="12" fillId="0" borderId="9" xfId="1" applyNumberFormat="1" applyFont="1" applyFill="1" applyBorder="1" applyAlignment="1" applyProtection="1">
      <alignment vertical="center"/>
      <protection hidden="1"/>
    </xf>
    <xf numFmtId="0" fontId="11" fillId="0" borderId="0" xfId="6" applyFont="1" applyBorder="1" applyAlignment="1">
      <alignment vertical="center"/>
    </xf>
    <xf numFmtId="0" fontId="11" fillId="0" borderId="0" xfId="6" applyFont="1" applyBorder="1" applyAlignment="1">
      <alignment horizontal="center" vertical="center"/>
    </xf>
    <xf numFmtId="0" fontId="9" fillId="0" borderId="0" xfId="6" applyFont="1" applyBorder="1" applyAlignment="1">
      <alignment horizontal="center" vertical="center"/>
    </xf>
    <xf numFmtId="0" fontId="9" fillId="0" borderId="0" xfId="6" applyFont="1" applyBorder="1" applyAlignment="1">
      <alignment horizontal="center" vertical="center" wrapText="1"/>
    </xf>
    <xf numFmtId="0" fontId="9" fillId="0" borderId="0" xfId="6" applyFont="1" applyBorder="1" applyAlignment="1">
      <alignment vertical="center"/>
    </xf>
    <xf numFmtId="0" fontId="9" fillId="0" borderId="0" xfId="6" applyFont="1" applyBorder="1" applyAlignment="1">
      <alignment horizontal="right" vertical="center"/>
    </xf>
    <xf numFmtId="0" fontId="9" fillId="0" borderId="0" xfId="6" applyFont="1" applyBorder="1" applyAlignment="1">
      <alignment horizontal="left" vertical="center"/>
    </xf>
    <xf numFmtId="0" fontId="9" fillId="0" borderId="0" xfId="6" quotePrefix="1" applyFont="1" applyBorder="1" applyAlignment="1">
      <alignment horizontal="left" vertical="center"/>
    </xf>
    <xf numFmtId="0" fontId="9" fillId="0" borderId="0" xfId="18" applyFont="1" applyBorder="1" applyAlignment="1">
      <alignment vertical="center"/>
    </xf>
    <xf numFmtId="0" fontId="9" fillId="0" borderId="0" xfId="18" applyFont="1" applyBorder="1" applyAlignment="1">
      <alignment horizontal="center" vertical="center"/>
    </xf>
    <xf numFmtId="0" fontId="11" fillId="2" borderId="0" xfId="18" applyFont="1" applyFill="1" applyBorder="1" applyAlignment="1">
      <alignment vertical="center"/>
    </xf>
    <xf numFmtId="49" fontId="9" fillId="0" borderId="0" xfId="18" applyNumberFormat="1" applyFont="1" applyBorder="1" applyAlignment="1">
      <alignment vertical="center"/>
    </xf>
    <xf numFmtId="0" fontId="9" fillId="0" borderId="0" xfId="18" applyFont="1" applyBorder="1" applyAlignment="1">
      <alignment horizontal="left" vertical="center"/>
    </xf>
    <xf numFmtId="0" fontId="11" fillId="2" borderId="0" xfId="6" applyFont="1" applyFill="1" applyBorder="1" applyAlignment="1">
      <alignment vertical="center"/>
    </xf>
    <xf numFmtId="0" fontId="11" fillId="2" borderId="0" xfId="6" applyFont="1" applyFill="1" applyBorder="1" applyAlignment="1">
      <alignment horizontal="center" vertical="center"/>
    </xf>
    <xf numFmtId="0" fontId="9" fillId="2" borderId="0" xfId="6" applyFont="1" applyFill="1" applyBorder="1" applyAlignment="1">
      <alignment vertical="center"/>
    </xf>
    <xf numFmtId="0" fontId="9" fillId="2" borderId="0" xfId="6" quotePrefix="1" applyFont="1" applyFill="1" applyBorder="1" applyAlignment="1" applyProtection="1">
      <alignment horizontal="center" vertical="center"/>
    </xf>
    <xf numFmtId="0" fontId="9" fillId="2" borderId="0" xfId="6" quotePrefix="1" applyFont="1" applyFill="1" applyBorder="1" applyAlignment="1" applyProtection="1">
      <alignment horizontal="left" vertical="center"/>
    </xf>
    <xf numFmtId="0" fontId="9" fillId="2" borderId="0" xfId="6" applyFont="1" applyFill="1" applyBorder="1" applyAlignment="1">
      <alignment horizontal="center" vertical="center"/>
    </xf>
    <xf numFmtId="0" fontId="11" fillId="2" borderId="0" xfId="6" applyFont="1" applyFill="1" applyBorder="1" applyAlignment="1" applyProtection="1">
      <alignment horizontal="left" vertical="center"/>
    </xf>
    <xf numFmtId="0" fontId="9" fillId="2" borderId="0" xfId="6" applyFont="1" applyFill="1" applyBorder="1" applyAlignment="1">
      <alignment horizontal="right" vertical="center"/>
    </xf>
    <xf numFmtId="0" fontId="9" fillId="2" borderId="0" xfId="6" applyFont="1" applyFill="1" applyBorder="1" applyAlignment="1" applyProtection="1">
      <alignment horizontal="left" vertical="center"/>
    </xf>
    <xf numFmtId="0" fontId="9" fillId="2" borderId="0" xfId="18" applyFont="1" applyFill="1" applyBorder="1" applyAlignment="1">
      <alignment vertical="center"/>
    </xf>
    <xf numFmtId="0" fontId="9" fillId="2" borderId="0" xfId="18" applyFont="1" applyFill="1" applyBorder="1" applyAlignment="1">
      <alignment horizontal="center" vertical="center"/>
    </xf>
    <xf numFmtId="0" fontId="11" fillId="2" borderId="0" xfId="18" applyFont="1" applyFill="1" applyBorder="1" applyAlignment="1">
      <alignment horizontal="center" vertical="center"/>
    </xf>
    <xf numFmtId="0" fontId="9" fillId="2" borderId="0" xfId="18" quotePrefix="1" applyFont="1" applyFill="1" applyBorder="1" applyAlignment="1" applyProtection="1">
      <alignment horizontal="center" vertical="center"/>
    </xf>
    <xf numFmtId="0" fontId="9" fillId="2" borderId="0" xfId="18" quotePrefix="1" applyFont="1" applyFill="1" applyBorder="1" applyAlignment="1" applyProtection="1">
      <alignment horizontal="left" vertical="center"/>
    </xf>
    <xf numFmtId="0" fontId="11" fillId="2" borderId="0" xfId="18" applyFont="1" applyFill="1" applyBorder="1" applyAlignment="1">
      <alignment vertical="center" wrapText="1"/>
    </xf>
    <xf numFmtId="0" fontId="9" fillId="0" borderId="0" xfId="18" applyFont="1" applyFill="1" applyBorder="1" applyAlignment="1" applyProtection="1">
      <alignment horizontal="left" vertical="center"/>
    </xf>
    <xf numFmtId="0" fontId="9" fillId="2" borderId="0" xfId="6" applyFont="1" applyFill="1" applyBorder="1" applyAlignment="1">
      <alignment horizontal="center" vertical="center" wrapText="1"/>
    </xf>
    <xf numFmtId="0" fontId="9" fillId="2" borderId="0" xfId="6" applyFont="1" applyFill="1" applyBorder="1" applyAlignment="1">
      <alignment horizontal="left" vertical="center"/>
    </xf>
    <xf numFmtId="0" fontId="9" fillId="2" borderId="0" xfId="6" applyFont="1" applyFill="1" applyBorder="1" applyAlignment="1" applyProtection="1">
      <alignment vertical="center"/>
    </xf>
    <xf numFmtId="0" fontId="9" fillId="2" borderId="0" xfId="6" quotePrefix="1" applyFont="1" applyFill="1" applyBorder="1" applyAlignment="1" applyProtection="1">
      <alignment vertical="center"/>
    </xf>
    <xf numFmtId="1" fontId="11" fillId="2" borderId="0" xfId="18" applyNumberFormat="1" applyFont="1" applyFill="1" applyBorder="1" applyAlignment="1">
      <alignment vertical="center" wrapText="1"/>
    </xf>
    <xf numFmtId="1" fontId="11" fillId="2" borderId="0" xfId="18" applyNumberFormat="1" applyFont="1" applyFill="1" applyBorder="1" applyAlignment="1">
      <alignment horizontal="center" vertical="center" wrapText="1"/>
    </xf>
    <xf numFmtId="4" fontId="9" fillId="2" borderId="0" xfId="18" applyNumberFormat="1" applyFont="1" applyFill="1" applyBorder="1" applyAlignment="1">
      <alignment vertical="center"/>
    </xf>
    <xf numFmtId="1" fontId="11" fillId="2" borderId="0" xfId="18" applyNumberFormat="1" applyFont="1" applyFill="1" applyBorder="1" applyAlignment="1">
      <alignment horizontal="right" vertical="center"/>
    </xf>
    <xf numFmtId="4" fontId="11" fillId="2" borderId="0" xfId="18" applyNumberFormat="1" applyFont="1" applyFill="1" applyBorder="1" applyAlignment="1">
      <alignment vertical="center"/>
    </xf>
    <xf numFmtId="1" fontId="9" fillId="2" borderId="0" xfId="18" applyNumberFormat="1" applyFont="1" applyFill="1" applyBorder="1" applyAlignment="1">
      <alignment horizontal="right" vertical="center"/>
    </xf>
    <xf numFmtId="1" fontId="9" fillId="2" borderId="0" xfId="18" applyNumberFormat="1" applyFont="1" applyFill="1" applyBorder="1" applyAlignment="1">
      <alignment vertical="center"/>
    </xf>
    <xf numFmtId="1" fontId="9" fillId="2" borderId="0" xfId="18" applyNumberFormat="1" applyFont="1" applyFill="1" applyBorder="1" applyAlignment="1">
      <alignment horizontal="center" vertical="center"/>
    </xf>
    <xf numFmtId="0" fontId="9" fillId="0" borderId="0" xfId="18" applyFont="1" applyFill="1" applyBorder="1" applyAlignment="1">
      <alignment horizontal="center" vertical="center"/>
    </xf>
    <xf numFmtId="0" fontId="9" fillId="2" borderId="0" xfId="18" applyFont="1" applyFill="1" applyBorder="1" applyAlignment="1">
      <alignment horizontal="center" vertical="center" wrapText="1"/>
    </xf>
    <xf numFmtId="0" fontId="9" fillId="0" borderId="0" xfId="18" applyFont="1" applyFill="1" applyBorder="1" applyAlignment="1">
      <alignment vertical="center"/>
    </xf>
    <xf numFmtId="49" fontId="9" fillId="2" borderId="0" xfId="18" applyNumberFormat="1" applyFont="1" applyFill="1" applyBorder="1" applyAlignment="1">
      <alignment horizontal="center" vertical="center"/>
    </xf>
    <xf numFmtId="1" fontId="9" fillId="0" borderId="0" xfId="18" applyNumberFormat="1" applyFont="1" applyFill="1" applyBorder="1" applyAlignment="1">
      <alignment horizontal="center" vertical="center"/>
    </xf>
    <xf numFmtId="0" fontId="9" fillId="0" borderId="0" xfId="6" applyFont="1" applyBorder="1" applyAlignment="1"/>
    <xf numFmtId="0" fontId="9" fillId="0" borderId="0" xfId="6" applyFont="1" applyBorder="1" applyAlignment="1">
      <alignment horizontal="center"/>
    </xf>
    <xf numFmtId="0" fontId="27" fillId="0" borderId="0" xfId="19" applyFont="1" applyAlignment="1">
      <alignment horizontal="center"/>
    </xf>
    <xf numFmtId="0" fontId="27" fillId="0" borderId="0" xfId="19" applyFont="1" applyAlignment="1"/>
    <xf numFmtId="179" fontId="9" fillId="0" borderId="0" xfId="6" applyNumberFormat="1" applyFont="1" applyBorder="1" applyAlignment="1">
      <alignment horizontal="center" vertical="center"/>
    </xf>
    <xf numFmtId="0" fontId="28" fillId="0" borderId="0" xfId="19" applyFont="1" applyFill="1" applyAlignment="1">
      <alignment vertical="center"/>
    </xf>
    <xf numFmtId="178" fontId="12" fillId="0" borderId="9" xfId="6" applyNumberFormat="1" applyFont="1" applyFill="1" applyBorder="1" applyAlignment="1" applyProtection="1">
      <alignment horizontal="center" vertical="center"/>
      <protection hidden="1"/>
    </xf>
    <xf numFmtId="0" fontId="12" fillId="0" borderId="12" xfId="6" applyFont="1" applyFill="1" applyBorder="1" applyAlignment="1" applyProtection="1">
      <alignment horizontal="center" vertical="center" wrapText="1"/>
      <protection hidden="1"/>
    </xf>
    <xf numFmtId="166" fontId="8" fillId="0" borderId="0" xfId="6" applyNumberFormat="1" applyFont="1" applyFill="1" applyBorder="1" applyAlignment="1" applyProtection="1">
      <alignment vertical="center"/>
      <protection hidden="1"/>
    </xf>
    <xf numFmtId="0" fontId="8" fillId="0" borderId="0" xfId="6" applyFont="1" applyFill="1" applyAlignment="1" applyProtection="1">
      <alignment vertical="center"/>
      <protection hidden="1"/>
    </xf>
    <xf numFmtId="0" fontId="8" fillId="0" borderId="0" xfId="6" applyFont="1" applyFill="1" applyBorder="1" applyAlignment="1" applyProtection="1">
      <alignment vertical="center"/>
      <protection hidden="1"/>
    </xf>
    <xf numFmtId="0" fontId="30" fillId="0" borderId="0" xfId="18" applyFont="1" applyFill="1" applyBorder="1" applyAlignment="1">
      <alignment vertical="center"/>
    </xf>
    <xf numFmtId="2" fontId="18" fillId="0" borderId="0" xfId="6" applyNumberFormat="1" applyFont="1" applyFill="1" applyBorder="1" applyAlignment="1">
      <alignment horizontal="center" vertical="center"/>
    </xf>
    <xf numFmtId="2" fontId="18" fillId="0" borderId="0" xfId="6" applyNumberFormat="1" applyFont="1" applyFill="1" applyBorder="1" applyAlignment="1">
      <alignment vertical="center"/>
    </xf>
    <xf numFmtId="0" fontId="13" fillId="0" borderId="0" xfId="6" applyFont="1" applyFill="1" applyBorder="1" applyAlignment="1">
      <alignment horizontal="center" vertical="center"/>
    </xf>
    <xf numFmtId="0" fontId="31" fillId="0" borderId="0" xfId="18" applyFont="1" applyFill="1" applyBorder="1" applyAlignment="1">
      <alignment vertical="center"/>
    </xf>
    <xf numFmtId="49" fontId="30" fillId="0" borderId="0" xfId="18" applyNumberFormat="1" applyFont="1" applyFill="1" applyBorder="1" applyAlignment="1">
      <alignment horizontal="center" vertical="center"/>
    </xf>
    <xf numFmtId="0" fontId="18" fillId="0" borderId="0" xfId="6" applyNumberFormat="1" applyFont="1" applyFill="1" applyBorder="1" applyAlignment="1">
      <alignment horizontal="center" vertical="center"/>
    </xf>
    <xf numFmtId="0" fontId="18" fillId="0" borderId="0" xfId="6" applyFont="1" applyFill="1" applyBorder="1" applyAlignment="1" applyProtection="1">
      <alignment horizontal="left" vertical="center"/>
      <protection hidden="1"/>
    </xf>
    <xf numFmtId="0" fontId="30" fillId="0" borderId="0" xfId="18" applyFont="1" applyFill="1" applyBorder="1" applyAlignment="1">
      <alignment horizontal="center" vertical="center"/>
    </xf>
    <xf numFmtId="0" fontId="13" fillId="0" borderId="0" xfId="6" applyFont="1" applyFill="1" applyBorder="1" applyAlignment="1">
      <alignment vertical="center"/>
    </xf>
    <xf numFmtId="0" fontId="18" fillId="0" borderId="0" xfId="6" applyFont="1" applyFill="1" applyBorder="1" applyAlignment="1">
      <alignment vertical="center"/>
    </xf>
    <xf numFmtId="16" fontId="13" fillId="0" borderId="0" xfId="6" applyNumberFormat="1" applyFont="1" applyFill="1" applyBorder="1" applyAlignment="1">
      <alignment horizontal="center" vertical="center"/>
    </xf>
    <xf numFmtId="0" fontId="18" fillId="0" borderId="0" xfId="6" applyFont="1" applyFill="1" applyBorder="1" applyAlignment="1">
      <alignment horizontal="center" vertical="center"/>
    </xf>
    <xf numFmtId="0" fontId="32" fillId="0" borderId="0" xfId="6" applyFont="1" applyFill="1" applyBorder="1" applyAlignment="1">
      <alignment horizontal="center" vertical="center"/>
    </xf>
    <xf numFmtId="0" fontId="12" fillId="0" borderId="0" xfId="6" applyFont="1" applyFill="1" applyBorder="1" applyAlignment="1" applyProtection="1">
      <alignment horizontal="center" vertical="center" wrapText="1"/>
      <protection hidden="1"/>
    </xf>
    <xf numFmtId="0" fontId="12" fillId="0" borderId="15" xfId="6" applyFont="1" applyFill="1" applyBorder="1" applyAlignment="1" applyProtection="1">
      <alignment horizontal="center" vertical="center"/>
      <protection hidden="1"/>
    </xf>
    <xf numFmtId="0" fontId="12" fillId="0" borderId="18" xfId="6" applyFont="1" applyFill="1" applyBorder="1" applyAlignment="1" applyProtection="1">
      <alignment horizontal="center" vertical="center" wrapText="1"/>
      <protection hidden="1"/>
    </xf>
    <xf numFmtId="171" fontId="12" fillId="0" borderId="27" xfId="1" applyNumberFormat="1" applyFont="1" applyFill="1" applyBorder="1" applyAlignment="1" applyProtection="1">
      <alignment vertical="center"/>
      <protection hidden="1"/>
    </xf>
    <xf numFmtId="0" fontId="8" fillId="0" borderId="9" xfId="0" applyFont="1" applyFill="1" applyBorder="1" applyAlignment="1" applyProtection="1">
      <alignment horizontal="center" vertical="center"/>
      <protection hidden="1"/>
    </xf>
    <xf numFmtId="177" fontId="12" fillId="0" borderId="18" xfId="1" applyNumberFormat="1" applyFont="1" applyFill="1" applyBorder="1" applyAlignment="1" applyProtection="1">
      <alignment vertical="center"/>
      <protection hidden="1"/>
    </xf>
    <xf numFmtId="180" fontId="30" fillId="0" borderId="0" xfId="18" applyNumberFormat="1" applyFont="1" applyFill="1" applyBorder="1" applyAlignment="1">
      <alignment horizontal="center" vertical="center"/>
    </xf>
    <xf numFmtId="0" fontId="8" fillId="0" borderId="12"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8" fillId="0" borderId="0" xfId="0" applyFont="1" applyFill="1" applyAlignment="1" applyProtection="1">
      <alignment horizontal="center" vertical="center"/>
    </xf>
    <xf numFmtId="0" fontId="12" fillId="0" borderId="18" xfId="0" applyFont="1" applyFill="1" applyBorder="1" applyAlignment="1" applyProtection="1">
      <alignment horizontal="center" vertical="center" wrapText="1"/>
      <protection hidden="1"/>
    </xf>
    <xf numFmtId="0" fontId="8" fillId="0" borderId="18" xfId="0" applyFont="1" applyFill="1" applyBorder="1" applyAlignment="1" applyProtection="1">
      <alignment horizontal="left" vertical="center" wrapText="1"/>
      <protection hidden="1"/>
    </xf>
    <xf numFmtId="4" fontId="8" fillId="0" borderId="9" xfId="0" applyNumberFormat="1" applyFont="1" applyFill="1" applyBorder="1" applyAlignment="1" applyProtection="1">
      <alignment horizontal="center" vertical="center"/>
      <protection hidden="1"/>
    </xf>
    <xf numFmtId="2" fontId="8" fillId="0" borderId="12" xfId="0" applyNumberFormat="1" applyFont="1" applyFill="1" applyBorder="1" applyAlignment="1" applyProtection="1">
      <alignment horizontal="right" vertical="center" indent="1"/>
      <protection hidden="1"/>
    </xf>
    <xf numFmtId="182" fontId="8" fillId="0" borderId="9" xfId="2" applyNumberFormat="1" applyFont="1" applyFill="1" applyBorder="1" applyAlignment="1" applyProtection="1">
      <alignment vertical="center"/>
      <protection hidden="1"/>
    </xf>
    <xf numFmtId="44" fontId="0" fillId="0" borderId="0" xfId="0" applyNumberFormat="1" applyFill="1" applyAlignment="1" applyProtection="1">
      <alignment vertical="center"/>
      <protection hidden="1"/>
    </xf>
    <xf numFmtId="10" fontId="12" fillId="0" borderId="0" xfId="0" applyNumberFormat="1" applyFont="1" applyFill="1" applyBorder="1" applyAlignment="1" applyProtection="1">
      <alignment horizontal="left" vertical="center"/>
      <protection hidden="1"/>
    </xf>
    <xf numFmtId="10" fontId="12"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2" fillId="0" borderId="0" xfId="0" applyFont="1" applyFill="1" applyBorder="1" applyAlignment="1" applyProtection="1">
      <alignment horizontal="left" vertical="center"/>
      <protection hidden="1"/>
    </xf>
    <xf numFmtId="0" fontId="14" fillId="0" borderId="0" xfId="0" applyFont="1" applyFill="1" applyBorder="1" applyAlignment="1" applyProtection="1">
      <alignment horizontal="right" vertical="center"/>
      <protection hidden="1"/>
    </xf>
    <xf numFmtId="44" fontId="12" fillId="0" borderId="0" xfId="0" applyNumberFormat="1" applyFont="1" applyFill="1" applyBorder="1" applyAlignment="1" applyProtection="1">
      <alignment vertical="center"/>
      <protection hidden="1"/>
    </xf>
    <xf numFmtId="0" fontId="12" fillId="0" borderId="0" xfId="0" applyFont="1" applyFill="1" applyAlignment="1" applyProtection="1">
      <alignment horizontal="right" vertical="center"/>
      <protection hidden="1"/>
    </xf>
    <xf numFmtId="166" fontId="15" fillId="0" borderId="0" xfId="0" applyNumberFormat="1" applyFont="1" applyFill="1" applyBorder="1" applyAlignment="1" applyProtection="1">
      <alignment horizontal="right" vertical="center"/>
      <protection hidden="1"/>
    </xf>
    <xf numFmtId="0" fontId="8" fillId="0" borderId="0" xfId="0" applyFont="1" applyFill="1" applyAlignment="1" applyProtection="1">
      <alignment vertical="center"/>
      <protection hidden="1"/>
    </xf>
    <xf numFmtId="183" fontId="12" fillId="0" borderId="9" xfId="2" applyNumberFormat="1" applyFont="1" applyFill="1" applyBorder="1" applyAlignment="1" applyProtection="1">
      <alignment vertical="center"/>
      <protection hidden="1"/>
    </xf>
    <xf numFmtId="183" fontId="8" fillId="0" borderId="9" xfId="2" applyNumberFormat="1" applyFont="1" applyFill="1" applyBorder="1" applyAlignment="1" applyProtection="1">
      <alignment vertical="center"/>
      <protection hidden="1"/>
    </xf>
    <xf numFmtId="0" fontId="8" fillId="0" borderId="0" xfId="0" applyFont="1" applyFill="1" applyBorder="1" applyAlignment="1" applyProtection="1">
      <alignment vertical="center"/>
    </xf>
    <xf numFmtId="0" fontId="12" fillId="0" borderId="0" xfId="6" applyFont="1" applyFill="1" applyBorder="1" applyAlignment="1" applyProtection="1">
      <alignment vertical="center"/>
    </xf>
    <xf numFmtId="0" fontId="8" fillId="0" borderId="0" xfId="6" applyFont="1" applyFill="1" applyBorder="1" applyAlignment="1" applyProtection="1">
      <alignment vertical="center"/>
    </xf>
    <xf numFmtId="0" fontId="12" fillId="0" borderId="0" xfId="6" applyFont="1" applyFill="1" applyBorder="1" applyAlignment="1" applyProtection="1">
      <alignment vertical="center" shrinkToFit="1"/>
    </xf>
    <xf numFmtId="0" fontId="16" fillId="0" borderId="12" xfId="0" applyFont="1" applyFill="1" applyBorder="1" applyAlignment="1" applyProtection="1">
      <alignment horizontal="centerContinuous" vertical="center"/>
      <protection hidden="1"/>
    </xf>
    <xf numFmtId="0" fontId="16" fillId="0" borderId="15" xfId="0" applyFont="1" applyFill="1" applyBorder="1" applyAlignment="1" applyProtection="1">
      <alignment horizontal="centerContinuous" vertical="center"/>
      <protection hidden="1"/>
    </xf>
    <xf numFmtId="0" fontId="0" fillId="0" borderId="15" xfId="0" applyFill="1" applyBorder="1" applyAlignment="1" applyProtection="1">
      <alignment horizontal="centerContinuous" vertical="center"/>
      <protection hidden="1"/>
    </xf>
    <xf numFmtId="0" fontId="12" fillId="0" borderId="0"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left" vertical="center"/>
      <protection hidden="1"/>
    </xf>
    <xf numFmtId="0" fontId="12" fillId="0" borderId="27" xfId="0" applyFont="1" applyFill="1" applyBorder="1" applyAlignment="1" applyProtection="1">
      <alignment horizontal="center" vertical="center" wrapText="1"/>
      <protection hidden="1"/>
    </xf>
    <xf numFmtId="0" fontId="12" fillId="0" borderId="27" xfId="0" applyFont="1" applyFill="1" applyBorder="1" applyAlignment="1" applyProtection="1">
      <alignment horizontal="center" vertical="center"/>
      <protection hidden="1"/>
    </xf>
    <xf numFmtId="0" fontId="12" fillId="0" borderId="31" xfId="0" applyNumberFormat="1" applyFont="1" applyFill="1" applyBorder="1" applyAlignment="1" applyProtection="1">
      <alignment horizontal="left" vertical="center"/>
      <protection hidden="1"/>
    </xf>
    <xf numFmtId="0" fontId="0" fillId="0" borderId="0" xfId="0" applyFill="1" applyBorder="1" applyAlignment="1" applyProtection="1">
      <alignment horizontal="right" vertical="center"/>
      <protection hidden="1"/>
    </xf>
    <xf numFmtId="9" fontId="12" fillId="0" borderId="0" xfId="1" applyNumberFormat="1" applyFont="1" applyFill="1" applyBorder="1" applyAlignment="1" applyProtection="1">
      <alignment horizontal="center" vertical="center"/>
      <protection hidden="1"/>
    </xf>
    <xf numFmtId="0" fontId="9" fillId="0" borderId="0" xfId="0" applyFont="1" applyFill="1" applyAlignment="1">
      <alignment vertical="center"/>
    </xf>
    <xf numFmtId="0" fontId="39" fillId="0" borderId="0" xfId="0" applyFont="1" applyAlignment="1">
      <alignment horizontal="center" vertical="center" readingOrder="1"/>
    </xf>
    <xf numFmtId="0" fontId="9" fillId="0" borderId="0" xfId="19" applyFont="1" applyFill="1" applyBorder="1" applyAlignment="1">
      <alignment vertical="center"/>
    </xf>
    <xf numFmtId="0" fontId="14" fillId="0" borderId="0" xfId="0" applyFont="1" applyFill="1" applyAlignment="1" applyProtection="1">
      <alignment vertical="center"/>
      <protection hidden="1"/>
    </xf>
    <xf numFmtId="44" fontId="20" fillId="0" borderId="0" xfId="2" applyFont="1" applyFill="1" applyAlignment="1" applyProtection="1">
      <alignment vertical="center"/>
      <protection hidden="1"/>
    </xf>
    <xf numFmtId="0" fontId="12" fillId="0" borderId="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12" fillId="0" borderId="0" xfId="6" applyFont="1" applyFill="1" applyBorder="1" applyAlignment="1" applyProtection="1">
      <alignment vertical="center"/>
      <protection locked="0"/>
    </xf>
    <xf numFmtId="0" fontId="8" fillId="0" borderId="0" xfId="6" applyFont="1" applyFill="1" applyBorder="1" applyAlignment="1" applyProtection="1">
      <alignment vertical="center"/>
      <protection locked="0"/>
    </xf>
    <xf numFmtId="0" fontId="12" fillId="0" borderId="0" xfId="6" applyFont="1" applyFill="1" applyBorder="1" applyAlignment="1" applyProtection="1">
      <alignment vertical="center" shrinkToFit="1"/>
      <protection locked="0"/>
    </xf>
    <xf numFmtId="176" fontId="8" fillId="0" borderId="0" xfId="6" applyNumberFormat="1" applyFont="1" applyFill="1" applyBorder="1" applyAlignment="1" applyProtection="1">
      <alignment horizontal="center" vertical="center"/>
      <protection locked="0"/>
    </xf>
    <xf numFmtId="0" fontId="12" fillId="0" borderId="0" xfId="0" applyFont="1" applyFill="1" applyAlignment="1" applyProtection="1">
      <alignment vertical="center"/>
      <protection locked="0"/>
    </xf>
    <xf numFmtId="0" fontId="8" fillId="0" borderId="0" xfId="0" applyFont="1" applyFill="1" applyBorder="1" applyAlignment="1" applyProtection="1">
      <alignment horizontal="left" vertical="center"/>
    </xf>
    <xf numFmtId="10" fontId="8" fillId="3" borderId="9" xfId="1" applyNumberFormat="1" applyFont="1" applyFill="1" applyBorder="1" applyAlignment="1" applyProtection="1">
      <alignment horizontal="center" vertical="center"/>
      <protection locked="0"/>
    </xf>
    <xf numFmtId="10" fontId="8" fillId="5" borderId="9" xfId="1" applyNumberFormat="1" applyFont="1" applyFill="1" applyBorder="1" applyAlignment="1" applyProtection="1">
      <alignment horizontal="center" vertical="center"/>
      <protection locked="0"/>
    </xf>
    <xf numFmtId="0" fontId="12" fillId="5" borderId="9" xfId="0" applyFont="1" applyFill="1" applyBorder="1" applyAlignment="1" applyProtection="1">
      <alignment vertical="center"/>
      <protection locked="0"/>
    </xf>
    <xf numFmtId="0" fontId="8" fillId="0" borderId="38" xfId="6" applyFont="1" applyFill="1" applyBorder="1" applyAlignment="1" applyProtection="1">
      <alignment vertical="center"/>
      <protection locked="0"/>
    </xf>
    <xf numFmtId="0" fontId="8" fillId="0" borderId="41" xfId="6" applyFont="1" applyFill="1" applyBorder="1" applyAlignment="1" applyProtection="1">
      <alignment vertical="center"/>
      <protection locked="0"/>
    </xf>
    <xf numFmtId="0" fontId="8" fillId="0" borderId="42" xfId="0" applyFont="1" applyFill="1" applyBorder="1" applyAlignment="1" applyProtection="1">
      <alignment vertical="center"/>
      <protection locked="0"/>
    </xf>
    <xf numFmtId="0" fontId="8" fillId="0" borderId="42" xfId="6" applyFont="1" applyFill="1" applyBorder="1" applyAlignment="1" applyProtection="1">
      <alignment vertical="center"/>
      <protection locked="0"/>
    </xf>
    <xf numFmtId="0" fontId="12" fillId="0" borderId="41"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0" fontId="8" fillId="0" borderId="17" xfId="0" applyFont="1" applyFill="1" applyBorder="1" applyAlignment="1" applyProtection="1">
      <alignment vertical="center"/>
      <protection locked="0"/>
    </xf>
    <xf numFmtId="0" fontId="8" fillId="0" borderId="44" xfId="0" applyFont="1" applyFill="1" applyBorder="1" applyAlignment="1" applyProtection="1">
      <alignment vertical="center"/>
      <protection locked="0"/>
    </xf>
    <xf numFmtId="0" fontId="41" fillId="0" borderId="39" xfId="0" applyFont="1" applyFill="1" applyBorder="1" applyAlignment="1" applyProtection="1">
      <alignment vertical="center"/>
      <protection locked="0"/>
    </xf>
    <xf numFmtId="0" fontId="8" fillId="0" borderId="41" xfId="0" applyFont="1" applyFill="1" applyBorder="1" applyAlignment="1" applyProtection="1">
      <alignment vertical="center"/>
      <protection locked="0"/>
    </xf>
    <xf numFmtId="0" fontId="12" fillId="4" borderId="37" xfId="0" applyFont="1" applyFill="1" applyBorder="1" applyAlignment="1" applyProtection="1">
      <alignment vertical="center"/>
      <protection locked="0"/>
    </xf>
    <xf numFmtId="0" fontId="12" fillId="3" borderId="37" xfId="6" applyFont="1" applyFill="1" applyBorder="1" applyAlignment="1" applyProtection="1">
      <alignment vertical="center" shrinkToFit="1"/>
      <protection locked="0"/>
    </xf>
    <xf numFmtId="0" fontId="8" fillId="0" borderId="40" xfId="6" applyFont="1" applyFill="1" applyBorder="1" applyAlignment="1" applyProtection="1">
      <alignment vertical="center"/>
      <protection locked="0"/>
    </xf>
    <xf numFmtId="0" fontId="12" fillId="3" borderId="45" xfId="0" applyFont="1" applyFill="1" applyBorder="1" applyAlignment="1" applyProtection="1">
      <alignment vertical="center"/>
      <protection locked="0"/>
    </xf>
    <xf numFmtId="0" fontId="12" fillId="3" borderId="46" xfId="0" applyFont="1" applyFill="1" applyBorder="1" applyAlignment="1" applyProtection="1">
      <alignment vertical="center"/>
      <protection locked="0"/>
    </xf>
    <xf numFmtId="0" fontId="12" fillId="3" borderId="47" xfId="0" applyFont="1" applyFill="1" applyBorder="1" applyAlignment="1" applyProtection="1">
      <alignment vertical="center"/>
      <protection locked="0"/>
    </xf>
    <xf numFmtId="0" fontId="12" fillId="0" borderId="35"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left" vertical="center" wrapText="1"/>
      <protection hidden="1"/>
    </xf>
    <xf numFmtId="0" fontId="0" fillId="0" borderId="12" xfId="0" applyFill="1" applyBorder="1" applyAlignment="1" applyProtection="1">
      <alignment vertical="center"/>
      <protection hidden="1"/>
    </xf>
    <xf numFmtId="0" fontId="12" fillId="0" borderId="15" xfId="0" applyFont="1" applyFill="1" applyBorder="1" applyAlignment="1" applyProtection="1">
      <alignment vertical="center"/>
      <protection hidden="1"/>
    </xf>
    <xf numFmtId="44" fontId="12" fillId="0" borderId="9" xfId="0" applyNumberFormat="1" applyFont="1" applyFill="1" applyBorder="1" applyAlignment="1" applyProtection="1">
      <alignment vertical="center"/>
      <protection hidden="1"/>
    </xf>
    <xf numFmtId="171" fontId="15" fillId="0" borderId="9" xfId="1" applyNumberFormat="1" applyFont="1" applyFill="1" applyBorder="1" applyAlignment="1" applyProtection="1">
      <alignment vertical="center"/>
      <protection hidden="1"/>
    </xf>
    <xf numFmtId="44" fontId="12" fillId="0" borderId="15" xfId="0" applyNumberFormat="1" applyFont="1" applyFill="1" applyBorder="1" applyAlignment="1" applyProtection="1">
      <alignment vertical="center"/>
      <protection hidden="1"/>
    </xf>
    <xf numFmtId="0" fontId="0" fillId="0" borderId="18" xfId="0" applyFill="1" applyBorder="1" applyAlignment="1" applyProtection="1">
      <alignment vertical="center"/>
      <protection hidden="1"/>
    </xf>
    <xf numFmtId="0" fontId="8" fillId="0" borderId="12" xfId="0" applyFont="1" applyFill="1" applyBorder="1" applyAlignment="1" applyProtection="1">
      <alignment vertical="center"/>
      <protection hidden="1"/>
    </xf>
    <xf numFmtId="0" fontId="8" fillId="0" borderId="18" xfId="0" applyFont="1" applyFill="1" applyBorder="1" applyAlignment="1" applyProtection="1">
      <alignment vertical="center"/>
      <protection hidden="1"/>
    </xf>
    <xf numFmtId="188"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wrapText="1"/>
    </xf>
    <xf numFmtId="44" fontId="8" fillId="0" borderId="0" xfId="2" applyFont="1" applyFill="1" applyAlignment="1" applyProtection="1">
      <alignment vertical="center"/>
    </xf>
    <xf numFmtId="0" fontId="12" fillId="0" borderId="9"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0" fontId="12" fillId="0" borderId="11" xfId="0" applyFont="1" applyFill="1" applyBorder="1" applyAlignment="1" applyProtection="1">
      <alignment horizontal="center" vertical="center"/>
    </xf>
    <xf numFmtId="0" fontId="12" fillId="0" borderId="11" xfId="0" applyFont="1" applyFill="1" applyBorder="1" applyAlignment="1" applyProtection="1">
      <alignment horizontal="center" vertical="center" wrapText="1"/>
    </xf>
    <xf numFmtId="0" fontId="12" fillId="0" borderId="15" xfId="0" applyFont="1" applyFill="1" applyBorder="1" applyAlignment="1" applyProtection="1">
      <alignment horizontal="center" vertical="center" wrapText="1"/>
    </xf>
    <xf numFmtId="49" fontId="12" fillId="0" borderId="15" xfId="0" applyNumberFormat="1"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8" fillId="0" borderId="12" xfId="0" applyFont="1" applyFill="1" applyBorder="1" applyAlignment="1" applyProtection="1">
      <alignment vertical="center"/>
    </xf>
    <xf numFmtId="2" fontId="8" fillId="0" borderId="0" xfId="0" applyNumberFormat="1" applyFont="1" applyFill="1" applyBorder="1" applyAlignment="1" applyProtection="1">
      <alignment vertical="center"/>
    </xf>
    <xf numFmtId="0" fontId="8" fillId="4"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protection locked="0"/>
    </xf>
    <xf numFmtId="0" fontId="8" fillId="0" borderId="0" xfId="6"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xf>
    <xf numFmtId="49" fontId="8" fillId="4" borderId="9" xfId="0" applyNumberFormat="1" applyFont="1" applyFill="1" applyBorder="1" applyAlignment="1" applyProtection="1">
      <alignment horizontal="center" vertical="center"/>
    </xf>
    <xf numFmtId="193" fontId="12" fillId="0" borderId="0" xfId="0" applyNumberFormat="1" applyFont="1" applyFill="1" applyBorder="1" applyAlignment="1" applyProtection="1">
      <alignment vertical="center"/>
    </xf>
    <xf numFmtId="44" fontId="10" fillId="0" borderId="0" xfId="2" applyFont="1" applyFill="1" applyBorder="1" applyAlignment="1" applyProtection="1">
      <alignment vertical="center"/>
      <protection hidden="1"/>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44" fontId="12" fillId="0" borderId="4" xfId="0"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0" fontId="0" fillId="0" borderId="0" xfId="0" applyFill="1" applyAlignment="1" applyProtection="1">
      <alignment vertical="center"/>
    </xf>
    <xf numFmtId="0" fontId="12" fillId="0" borderId="5" xfId="0"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0" fillId="0" borderId="0" xfId="0" applyFill="1" applyBorder="1" applyAlignment="1" applyProtection="1">
      <alignment vertical="center"/>
    </xf>
    <xf numFmtId="44" fontId="12" fillId="0" borderId="1" xfId="0" applyNumberFormat="1" applyFont="1" applyFill="1" applyBorder="1" applyAlignment="1" applyProtection="1">
      <alignmen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44" fontId="12" fillId="0" borderId="8"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0" fontId="12" fillId="5" borderId="37" xfId="6" applyFont="1" applyFill="1" applyBorder="1" applyAlignment="1" applyProtection="1">
      <alignment vertical="center"/>
      <protection locked="0"/>
    </xf>
    <xf numFmtId="0" fontId="12" fillId="6" borderId="37" xfId="0" applyFont="1" applyFill="1" applyBorder="1" applyAlignment="1" applyProtection="1">
      <alignment vertical="center"/>
      <protection locked="0"/>
    </xf>
    <xf numFmtId="0" fontId="8" fillId="0" borderId="18" xfId="0" applyNumberFormat="1" applyFont="1" applyFill="1" applyBorder="1" applyAlignment="1" applyProtection="1">
      <alignment horizontal="center" vertical="center"/>
    </xf>
    <xf numFmtId="0" fontId="8" fillId="4" borderId="9" xfId="0" applyFont="1" applyFill="1" applyBorder="1" applyAlignment="1" applyProtection="1">
      <alignment vertical="center"/>
      <protection locked="0"/>
    </xf>
    <xf numFmtId="49" fontId="12" fillId="0" borderId="0" xfId="0" applyNumberFormat="1" applyFont="1" applyFill="1" applyBorder="1" applyAlignment="1" applyProtection="1">
      <alignment horizontal="center" vertical="center" wrapText="1"/>
    </xf>
    <xf numFmtId="49" fontId="8" fillId="0" borderId="0" xfId="6" applyNumberFormat="1" applyFont="1" applyFill="1" applyBorder="1" applyAlignment="1" applyProtection="1">
      <alignment horizontal="center" vertical="center"/>
      <protection locked="0"/>
    </xf>
    <xf numFmtId="169" fontId="12" fillId="0" borderId="0" xfId="6" applyNumberFormat="1" applyFont="1" applyFill="1" applyBorder="1" applyAlignment="1" applyProtection="1">
      <alignment horizontal="center" vertical="center"/>
      <protection locked="0"/>
    </xf>
    <xf numFmtId="9" fontId="8" fillId="0" borderId="0" xfId="1" applyFont="1" applyFill="1" applyBorder="1" applyAlignment="1" applyProtection="1">
      <alignment horizontal="center" vertical="center"/>
      <protection locked="0"/>
    </xf>
    <xf numFmtId="14" fontId="8" fillId="0" borderId="0" xfId="6" applyNumberFormat="1" applyFont="1" applyFill="1" applyBorder="1" applyAlignment="1" applyProtection="1">
      <alignment horizontal="center" vertical="center"/>
      <protection locked="0"/>
    </xf>
    <xf numFmtId="0" fontId="12" fillId="0" borderId="0" xfId="6" applyFont="1" applyFill="1" applyBorder="1" applyAlignment="1" applyProtection="1">
      <alignment horizontal="center" vertical="center"/>
      <protection locked="0"/>
    </xf>
    <xf numFmtId="10" fontId="8" fillId="0" borderId="0" xfId="1" applyNumberFormat="1" applyFont="1" applyFill="1" applyBorder="1" applyAlignment="1" applyProtection="1">
      <alignment horizontal="center" vertical="center"/>
      <protection locked="0"/>
    </xf>
    <xf numFmtId="44" fontId="8" fillId="0" borderId="0" xfId="2" applyFont="1" applyFill="1" applyBorder="1" applyAlignment="1" applyProtection="1">
      <alignment vertical="center"/>
      <protection locked="0"/>
    </xf>
    <xf numFmtId="9" fontId="13" fillId="0" borderId="0" xfId="1" applyFont="1" applyFill="1" applyBorder="1" applyAlignment="1">
      <alignment vertical="center"/>
    </xf>
    <xf numFmtId="0" fontId="8" fillId="0" borderId="12"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13" fillId="0" borderId="0" xfId="0" applyFont="1" applyFill="1" applyAlignment="1" applyProtection="1">
      <alignment horizontal="left" vertical="center"/>
    </xf>
    <xf numFmtId="181" fontId="13" fillId="0" borderId="0" xfId="0" applyNumberFormat="1" applyFont="1" applyFill="1" applyAlignment="1" applyProtection="1">
      <alignment horizontal="center" vertical="center"/>
    </xf>
    <xf numFmtId="0" fontId="12" fillId="0" borderId="15"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protection hidden="1"/>
    </xf>
    <xf numFmtId="2" fontId="0" fillId="0" borderId="0" xfId="0" applyNumberFormat="1" applyFill="1" applyAlignment="1" applyProtection="1">
      <alignment vertical="center"/>
      <protection hidden="1"/>
    </xf>
    <xf numFmtId="181" fontId="8" fillId="0" borderId="0" xfId="0" applyNumberFormat="1" applyFont="1" applyFill="1" applyBorder="1" applyAlignment="1" applyProtection="1">
      <alignment vertical="center"/>
    </xf>
    <xf numFmtId="0" fontId="8" fillId="0" borderId="28" xfId="0" applyFont="1" applyFill="1" applyBorder="1" applyAlignment="1" applyProtection="1">
      <alignment horizontal="center" vertical="center"/>
    </xf>
    <xf numFmtId="0" fontId="8" fillId="0" borderId="28" xfId="0" applyFont="1" applyFill="1" applyBorder="1" applyAlignment="1" applyProtection="1">
      <alignment horizontal="left" vertical="center"/>
    </xf>
    <xf numFmtId="4" fontId="8" fillId="0" borderId="28" xfId="0" applyNumberFormat="1" applyFont="1" applyFill="1" applyBorder="1" applyAlignment="1" applyProtection="1">
      <alignment horizontal="center" vertical="center"/>
    </xf>
    <xf numFmtId="4" fontId="8" fillId="0" borderId="28" xfId="0" applyNumberFormat="1" applyFont="1" applyFill="1" applyBorder="1" applyAlignment="1" applyProtection="1">
      <alignment vertical="center"/>
      <protection locked="0"/>
    </xf>
    <xf numFmtId="182" fontId="8" fillId="0" borderId="28" xfId="2" applyNumberFormat="1" applyFont="1" applyFill="1" applyBorder="1" applyAlignment="1" applyProtection="1">
      <alignment vertical="center"/>
      <protection hidden="1"/>
    </xf>
    <xf numFmtId="0" fontId="12" fillId="0" borderId="12" xfId="0"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8" fillId="0" borderId="15" xfId="0" applyFont="1" applyFill="1" applyBorder="1" applyAlignment="1" applyProtection="1">
      <alignment vertical="center"/>
    </xf>
    <xf numFmtId="0" fontId="8" fillId="0" borderId="18" xfId="0" applyFont="1" applyFill="1" applyBorder="1" applyAlignment="1" applyProtection="1">
      <alignment vertical="center"/>
    </xf>
    <xf numFmtId="0" fontId="8" fillId="0" borderId="9" xfId="6" applyFont="1" applyFill="1" applyBorder="1" applyAlignment="1" applyProtection="1">
      <alignment horizontal="center" vertical="center"/>
      <protection hidden="1"/>
    </xf>
    <xf numFmtId="0" fontId="8" fillId="0" borderId="12" xfId="6" applyFont="1" applyFill="1" applyBorder="1" applyAlignment="1" applyProtection="1">
      <alignment vertical="center"/>
      <protection hidden="1"/>
    </xf>
    <xf numFmtId="0" fontId="12" fillId="0" borderId="18" xfId="6" applyFont="1" applyFill="1" applyBorder="1" applyAlignment="1" applyProtection="1">
      <alignment horizontal="left" vertical="center" wrapText="1"/>
      <protection hidden="1"/>
    </xf>
    <xf numFmtId="0" fontId="8" fillId="0" borderId="0" xfId="0" applyFont="1" applyFill="1" applyBorder="1" applyAlignment="1" applyProtection="1">
      <alignment vertical="center"/>
      <protection hidden="1"/>
    </xf>
    <xf numFmtId="189" fontId="8" fillId="0" borderId="0" xfId="0" applyNumberFormat="1" applyFont="1" applyFill="1" applyAlignment="1" applyProtection="1">
      <alignment vertical="center"/>
      <protection hidden="1"/>
    </xf>
    <xf numFmtId="0" fontId="12" fillId="0" borderId="0" xfId="6" applyFont="1" applyFill="1" applyBorder="1" applyAlignment="1" applyProtection="1">
      <alignment vertical="center"/>
      <protection hidden="1"/>
    </xf>
    <xf numFmtId="0" fontId="12" fillId="0" borderId="0" xfId="0" applyFont="1" applyFill="1" applyAlignment="1" applyProtection="1">
      <alignment vertical="center"/>
      <protection hidden="1"/>
    </xf>
    <xf numFmtId="44" fontId="8" fillId="0" borderId="0" xfId="2" applyFont="1" applyFill="1" applyAlignment="1" applyProtection="1">
      <alignment vertical="center"/>
      <protection hidden="1"/>
    </xf>
    <xf numFmtId="189" fontId="8" fillId="0" borderId="0" xfId="6" applyNumberFormat="1" applyFont="1" applyFill="1" applyAlignment="1" applyProtection="1">
      <alignment vertical="center"/>
      <protection hidden="1"/>
    </xf>
    <xf numFmtId="189" fontId="12" fillId="0" borderId="0" xfId="0" applyNumberFormat="1" applyFont="1" applyFill="1" applyBorder="1" applyAlignment="1" applyProtection="1">
      <alignment vertical="center"/>
      <protection hidden="1"/>
    </xf>
    <xf numFmtId="189" fontId="12" fillId="0" borderId="0" xfId="6" applyNumberFormat="1" applyFont="1" applyFill="1" applyBorder="1" applyAlignment="1" applyProtection="1">
      <alignment vertical="center"/>
      <protection hidden="1"/>
    </xf>
    <xf numFmtId="44" fontId="12" fillId="0" borderId="0" xfId="6" applyNumberFormat="1" applyFont="1" applyFill="1" applyBorder="1" applyAlignment="1" applyProtection="1">
      <alignment vertical="center"/>
      <protection hidden="1"/>
    </xf>
    <xf numFmtId="189" fontId="12" fillId="0" borderId="0" xfId="0" applyNumberFormat="1" applyFont="1" applyFill="1" applyAlignment="1" applyProtection="1">
      <alignment vertical="center"/>
      <protection hidden="1"/>
    </xf>
    <xf numFmtId="0" fontId="12" fillId="0" borderId="28" xfId="0" applyFont="1" applyFill="1" applyBorder="1" applyAlignment="1" applyProtection="1">
      <alignment horizontal="center" vertical="center"/>
      <protection hidden="1"/>
    </xf>
    <xf numFmtId="0" fontId="8" fillId="0" borderId="9" xfId="0" applyFont="1" applyFill="1" applyBorder="1" applyAlignment="1" applyProtection="1">
      <alignment vertical="center"/>
      <protection hidden="1"/>
    </xf>
    <xf numFmtId="0" fontId="8" fillId="0" borderId="13" xfId="0" applyFont="1" applyFill="1" applyBorder="1" applyAlignment="1" applyProtection="1">
      <alignment vertical="center"/>
      <protection hidden="1"/>
    </xf>
    <xf numFmtId="0" fontId="8" fillId="0" borderId="32" xfId="0" applyFont="1" applyFill="1" applyBorder="1" applyAlignment="1" applyProtection="1">
      <alignment vertical="center"/>
      <protection hidden="1"/>
    </xf>
    <xf numFmtId="0" fontId="8" fillId="0" borderId="15" xfId="0" applyFont="1" applyFill="1" applyBorder="1" applyAlignment="1" applyProtection="1">
      <alignment vertical="center"/>
      <protection hidden="1"/>
    </xf>
    <xf numFmtId="10" fontId="8" fillId="0" borderId="0" xfId="0" applyNumberFormat="1" applyFont="1" applyFill="1" applyBorder="1" applyAlignment="1" applyProtection="1">
      <alignment vertical="center"/>
      <protection hidden="1"/>
    </xf>
    <xf numFmtId="10" fontId="8" fillId="0" borderId="0" xfId="0" applyNumberFormat="1" applyFont="1" applyFill="1" applyAlignment="1" applyProtection="1">
      <alignment vertical="center"/>
      <protection hidden="1"/>
    </xf>
    <xf numFmtId="0" fontId="8" fillId="0" borderId="12" xfId="0" applyFont="1" applyFill="1" applyBorder="1" applyAlignment="1" applyProtection="1">
      <alignment horizontal="left" vertical="center"/>
      <protection hidden="1"/>
    </xf>
    <xf numFmtId="0" fontId="8" fillId="0" borderId="18" xfId="0" applyFont="1" applyFill="1" applyBorder="1" applyAlignment="1" applyProtection="1">
      <alignment horizontal="left" vertical="center"/>
      <protection hidden="1"/>
    </xf>
    <xf numFmtId="182" fontId="12" fillId="0" borderId="0" xfId="2" applyNumberFormat="1" applyFont="1" applyFill="1" applyBorder="1" applyAlignment="1" applyProtection="1">
      <alignment vertical="center"/>
      <protection hidden="1"/>
    </xf>
    <xf numFmtId="188" fontId="12" fillId="0" borderId="0" xfId="6" applyNumberFormat="1" applyFont="1" applyFill="1" applyBorder="1" applyAlignment="1" applyProtection="1">
      <alignment horizontal="left" vertical="center"/>
      <protection hidden="1"/>
    </xf>
    <xf numFmtId="0" fontId="8" fillId="3" borderId="14"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8" fillId="4" borderId="14" xfId="0" applyFont="1" applyFill="1" applyBorder="1" applyAlignment="1" applyProtection="1">
      <alignment horizontal="left" vertical="center"/>
    </xf>
    <xf numFmtId="4" fontId="8" fillId="4" borderId="30" xfId="0" applyNumberFormat="1" applyFont="1" applyFill="1" applyBorder="1" applyAlignment="1" applyProtection="1">
      <alignment horizontal="center" vertical="center"/>
    </xf>
    <xf numFmtId="0" fontId="8" fillId="4" borderId="12" xfId="0" applyFont="1" applyFill="1" applyBorder="1" applyAlignment="1" applyProtection="1">
      <alignment horizontal="left" vertical="center"/>
    </xf>
    <xf numFmtId="4" fontId="8" fillId="4" borderId="9" xfId="0" applyNumberFormat="1" applyFont="1" applyFill="1" applyBorder="1" applyAlignment="1" applyProtection="1">
      <alignment horizontal="center" vertical="center"/>
    </xf>
    <xf numFmtId="0" fontId="8" fillId="5" borderId="9" xfId="0" applyFont="1" applyFill="1" applyBorder="1" applyAlignment="1" applyProtection="1">
      <alignment horizontal="center" vertical="center"/>
    </xf>
    <xf numFmtId="0" fontId="8" fillId="5" borderId="9" xfId="0" applyFont="1" applyFill="1" applyBorder="1" applyAlignment="1" applyProtection="1">
      <alignment horizontal="left" vertical="center"/>
    </xf>
    <xf numFmtId="4" fontId="8" fillId="5" borderId="9" xfId="0" applyNumberFormat="1" applyFont="1" applyFill="1" applyBorder="1" applyAlignment="1" applyProtection="1">
      <alignment horizontal="center" vertical="center"/>
    </xf>
    <xf numFmtId="2" fontId="8" fillId="5" borderId="9" xfId="0" applyNumberFormat="1" applyFont="1" applyFill="1" applyBorder="1" applyAlignment="1" applyProtection="1">
      <alignment vertical="center"/>
      <protection locked="0"/>
    </xf>
    <xf numFmtId="182" fontId="8" fillId="5" borderId="30" xfId="2" applyNumberFormat="1" applyFont="1" applyFill="1" applyBorder="1" applyAlignment="1" applyProtection="1">
      <alignment vertical="center"/>
      <protection hidden="1"/>
    </xf>
    <xf numFmtId="4" fontId="8" fillId="3" borderId="30" xfId="0" applyNumberFormat="1" applyFont="1" applyFill="1" applyBorder="1" applyAlignment="1" applyProtection="1">
      <alignment vertical="center"/>
      <protection locked="0"/>
    </xf>
    <xf numFmtId="4" fontId="8" fillId="3" borderId="9" xfId="0" applyNumberFormat="1" applyFont="1" applyFill="1" applyBorder="1" applyAlignment="1" applyProtection="1">
      <alignment vertical="center"/>
      <protection locked="0"/>
    </xf>
    <xf numFmtId="182" fontId="8" fillId="4" borderId="30" xfId="2" applyNumberFormat="1" applyFont="1" applyFill="1" applyBorder="1" applyAlignment="1" applyProtection="1">
      <alignment vertical="center"/>
      <protection hidden="1"/>
    </xf>
    <xf numFmtId="182" fontId="8" fillId="4" borderId="9" xfId="2" applyNumberFormat="1" applyFont="1" applyFill="1" applyBorder="1" applyAlignment="1" applyProtection="1">
      <alignment vertical="center"/>
      <protection hidden="1"/>
    </xf>
    <xf numFmtId="0" fontId="12" fillId="4" borderId="31" xfId="0" applyFont="1" applyFill="1" applyBorder="1" applyAlignment="1" applyProtection="1">
      <alignment horizontal="center" vertical="center"/>
    </xf>
    <xf numFmtId="0" fontId="12" fillId="4" borderId="28" xfId="0" applyFont="1" applyFill="1" applyBorder="1" applyAlignment="1" applyProtection="1">
      <alignment horizontal="left" vertical="center"/>
    </xf>
    <xf numFmtId="0" fontId="14" fillId="4" borderId="28" xfId="0" applyFont="1" applyFill="1" applyBorder="1" applyAlignment="1" applyProtection="1">
      <alignment horizontal="left" vertical="center"/>
    </xf>
    <xf numFmtId="0" fontId="12" fillId="4" borderId="28" xfId="0" applyFont="1" applyFill="1" applyBorder="1" applyAlignment="1" applyProtection="1">
      <alignment horizontal="right" vertical="center"/>
    </xf>
    <xf numFmtId="0" fontId="0" fillId="4" borderId="28" xfId="0" applyFill="1" applyBorder="1" applyAlignment="1" applyProtection="1">
      <alignment vertical="center"/>
    </xf>
    <xf numFmtId="44" fontId="12" fillId="4" borderId="29" xfId="0" applyNumberFormat="1" applyFont="1" applyFill="1" applyBorder="1" applyAlignment="1" applyProtection="1">
      <alignment vertical="center"/>
    </xf>
    <xf numFmtId="0" fontId="12" fillId="4" borderId="13" xfId="0" applyFont="1" applyFill="1" applyBorder="1" applyAlignment="1" applyProtection="1">
      <alignment horizontal="center" vertical="center"/>
    </xf>
    <xf numFmtId="0" fontId="12" fillId="4" borderId="0" xfId="0" applyFont="1" applyFill="1" applyBorder="1" applyAlignment="1" applyProtection="1">
      <alignment horizontal="left" vertical="center"/>
    </xf>
    <xf numFmtId="0" fontId="14" fillId="4" borderId="0" xfId="0" applyFont="1" applyFill="1" applyBorder="1" applyAlignment="1" applyProtection="1">
      <alignment horizontal="left" vertical="center"/>
    </xf>
    <xf numFmtId="0" fontId="12" fillId="4" borderId="0" xfId="0" applyFont="1" applyFill="1" applyBorder="1" applyAlignment="1" applyProtection="1">
      <alignment horizontal="right" vertical="center"/>
    </xf>
    <xf numFmtId="10" fontId="0" fillId="4" borderId="0" xfId="1" applyNumberFormat="1" applyFont="1" applyFill="1" applyBorder="1" applyAlignment="1" applyProtection="1">
      <alignment vertical="center"/>
    </xf>
    <xf numFmtId="44" fontId="12" fillId="4" borderId="32" xfId="0" applyNumberFormat="1" applyFont="1" applyFill="1" applyBorder="1" applyAlignment="1" applyProtection="1">
      <alignment vertical="center"/>
    </xf>
    <xf numFmtId="0" fontId="0" fillId="4" borderId="0" xfId="0" applyFill="1" applyBorder="1" applyAlignment="1" applyProtection="1">
      <alignment vertical="center"/>
    </xf>
    <xf numFmtId="10" fontId="12" fillId="4" borderId="0" xfId="0" applyNumberFormat="1" applyFont="1" applyFill="1" applyBorder="1" applyAlignment="1" applyProtection="1">
      <alignment horizontal="left" vertical="center"/>
    </xf>
    <xf numFmtId="10" fontId="12" fillId="4" borderId="0" xfId="0" applyNumberFormat="1" applyFont="1" applyFill="1" applyBorder="1" applyAlignment="1" applyProtection="1">
      <alignment horizontal="right" vertical="center"/>
    </xf>
    <xf numFmtId="0" fontId="12" fillId="4" borderId="14" xfId="0" applyFont="1" applyFill="1" applyBorder="1" applyAlignment="1" applyProtection="1">
      <alignment horizontal="center" vertical="center"/>
    </xf>
    <xf numFmtId="10" fontId="12" fillId="4" borderId="27" xfId="0" applyNumberFormat="1" applyFont="1" applyFill="1" applyBorder="1" applyAlignment="1" applyProtection="1">
      <alignment horizontal="left" vertical="center"/>
    </xf>
    <xf numFmtId="10" fontId="0" fillId="4" borderId="27" xfId="1" applyNumberFormat="1" applyFont="1" applyFill="1" applyBorder="1" applyAlignment="1" applyProtection="1">
      <alignment vertical="center"/>
    </xf>
    <xf numFmtId="10" fontId="12" fillId="4" borderId="27" xfId="0" applyNumberFormat="1" applyFont="1" applyFill="1" applyBorder="1" applyAlignment="1" applyProtection="1">
      <alignment horizontal="right" vertical="center"/>
    </xf>
    <xf numFmtId="0" fontId="0" fillId="4" borderId="27" xfId="0" applyFill="1" applyBorder="1" applyAlignment="1" applyProtection="1">
      <alignment vertical="center"/>
    </xf>
    <xf numFmtId="44" fontId="12" fillId="4" borderId="16" xfId="0" applyNumberFormat="1" applyFont="1" applyFill="1" applyBorder="1" applyAlignment="1" applyProtection="1">
      <alignment vertical="center"/>
    </xf>
    <xf numFmtId="0" fontId="0" fillId="4" borderId="0" xfId="0" applyFill="1" applyAlignment="1" applyProtection="1">
      <alignment vertical="center"/>
      <protection hidden="1"/>
    </xf>
    <xf numFmtId="0" fontId="10" fillId="4" borderId="0" xfId="0" applyFont="1" applyFill="1" applyBorder="1" applyAlignment="1" applyProtection="1">
      <alignment horizontal="left" vertical="center"/>
      <protection hidden="1"/>
    </xf>
    <xf numFmtId="10" fontId="12" fillId="4" borderId="0" xfId="0" applyNumberFormat="1" applyFont="1" applyFill="1" applyBorder="1" applyAlignment="1" applyProtection="1">
      <alignment horizontal="right" vertical="center"/>
      <protection hidden="1"/>
    </xf>
    <xf numFmtId="0" fontId="0" fillId="4" borderId="0" xfId="0" applyFill="1" applyBorder="1" applyAlignment="1" applyProtection="1">
      <alignment vertical="center"/>
      <protection hidden="1"/>
    </xf>
    <xf numFmtId="44" fontId="12" fillId="4" borderId="0" xfId="2" applyFont="1" applyFill="1" applyAlignment="1" applyProtection="1">
      <alignment vertical="center"/>
    </xf>
    <xf numFmtId="182" fontId="8" fillId="5" borderId="9" xfId="2" applyNumberFormat="1" applyFont="1" applyFill="1" applyBorder="1" applyAlignment="1" applyProtection="1">
      <alignment vertical="center"/>
      <protection hidden="1"/>
    </xf>
    <xf numFmtId="0" fontId="8" fillId="5" borderId="12" xfId="0" applyFont="1" applyFill="1" applyBorder="1" applyAlignment="1" applyProtection="1">
      <alignment horizontal="left" vertical="center"/>
    </xf>
    <xf numFmtId="0" fontId="8" fillId="5" borderId="12" xfId="0" applyFont="1" applyFill="1" applyBorder="1" applyAlignment="1" applyProtection="1">
      <alignment horizontal="center" vertical="center"/>
    </xf>
    <xf numFmtId="0" fontId="8" fillId="5" borderId="9" xfId="0" applyFont="1" applyFill="1" applyBorder="1" applyAlignment="1" applyProtection="1">
      <alignment vertical="center"/>
    </xf>
    <xf numFmtId="44" fontId="12" fillId="0" borderId="3" xfId="0" applyNumberFormat="1" applyFont="1" applyFill="1" applyBorder="1" applyAlignment="1" applyProtection="1">
      <alignment vertical="center"/>
    </xf>
    <xf numFmtId="166" fontId="12" fillId="0" borderId="4" xfId="0" applyNumberFormat="1" applyFont="1" applyFill="1" applyBorder="1" applyAlignment="1" applyProtection="1">
      <alignment horizontal="right" vertical="center"/>
    </xf>
    <xf numFmtId="44" fontId="12" fillId="0" borderId="0" xfId="0" applyNumberFormat="1" applyFont="1" applyFill="1" applyBorder="1" applyAlignment="1" applyProtection="1">
      <alignment vertical="center"/>
    </xf>
    <xf numFmtId="166" fontId="12" fillId="0" borderId="1" xfId="0" applyNumberFormat="1" applyFont="1" applyFill="1" applyBorder="1" applyAlignment="1" applyProtection="1">
      <alignment horizontal="right" vertical="center"/>
    </xf>
    <xf numFmtId="10" fontId="12" fillId="0" borderId="1" xfId="0" applyNumberFormat="1" applyFont="1" applyFill="1" applyBorder="1" applyAlignment="1" applyProtection="1">
      <alignment horizontal="right" vertical="center"/>
    </xf>
    <xf numFmtId="44" fontId="12" fillId="0" borderId="7" xfId="0" applyNumberFormat="1" applyFont="1" applyFill="1" applyBorder="1" applyAlignment="1" applyProtection="1">
      <alignment vertical="center"/>
    </xf>
    <xf numFmtId="10" fontId="12" fillId="0" borderId="8" xfId="0" applyNumberFormat="1" applyFont="1" applyFill="1" applyBorder="1" applyAlignment="1" applyProtection="1">
      <alignment horizontal="right" vertical="center"/>
    </xf>
    <xf numFmtId="0" fontId="8" fillId="0" borderId="12" xfId="5" applyFont="1" applyFill="1" applyBorder="1" applyAlignment="1" applyProtection="1">
      <alignment horizontal="left" vertical="center"/>
      <protection locked="0"/>
    </xf>
    <xf numFmtId="0" fontId="8" fillId="0" borderId="18" xfId="5" applyFont="1" applyFill="1" applyBorder="1" applyAlignment="1" applyProtection="1">
      <alignment horizontal="left" vertical="center"/>
      <protection locked="0"/>
    </xf>
    <xf numFmtId="0" fontId="12" fillId="3" borderId="9" xfId="6" applyFont="1" applyFill="1" applyBorder="1" applyAlignment="1" applyProtection="1">
      <alignment horizontal="center" vertical="center"/>
      <protection locked="0"/>
    </xf>
    <xf numFmtId="166" fontId="0" fillId="0" borderId="0" xfId="0" applyNumberFormat="1" applyFill="1" applyAlignment="1" applyProtection="1">
      <alignment vertical="center"/>
    </xf>
    <xf numFmtId="0" fontId="9" fillId="0" borderId="9" xfId="0" applyFont="1" applyFill="1" applyBorder="1" applyAlignment="1" applyProtection="1">
      <alignment horizontal="center" vertical="center"/>
      <protection locked="0"/>
    </xf>
    <xf numFmtId="0" fontId="9" fillId="0" borderId="12" xfId="0" applyFont="1" applyFill="1" applyBorder="1" applyAlignment="1" applyProtection="1">
      <alignment vertical="center"/>
      <protection locked="0"/>
    </xf>
    <xf numFmtId="0" fontId="9" fillId="0" borderId="0" xfId="0" applyFont="1" applyFill="1" applyBorder="1" applyAlignment="1" applyProtection="1">
      <alignment horizontal="left" vertical="center"/>
      <protection locked="0"/>
    </xf>
    <xf numFmtId="0" fontId="9" fillId="0" borderId="9" xfId="0" applyFont="1" applyFill="1" applyBorder="1" applyAlignment="1" applyProtection="1">
      <alignment vertical="center"/>
      <protection locked="0"/>
    </xf>
    <xf numFmtId="2" fontId="9" fillId="0" borderId="31" xfId="0" applyNumberFormat="1" applyFont="1" applyFill="1" applyBorder="1" applyAlignment="1">
      <alignment horizontal="right" vertical="center"/>
    </xf>
    <xf numFmtId="0" fontId="9" fillId="0" borderId="0" xfId="0" applyFont="1" applyFill="1" applyBorder="1" applyAlignment="1" applyProtection="1">
      <alignment horizontal="center" vertical="center"/>
    </xf>
    <xf numFmtId="181" fontId="9" fillId="0" borderId="9" xfId="48" applyNumberFormat="1" applyFont="1" applyFill="1" applyBorder="1" applyAlignment="1" applyProtection="1">
      <alignment horizontal="right" vertical="center"/>
      <protection locked="0"/>
    </xf>
    <xf numFmtId="181" fontId="9" fillId="0" borderId="48" xfId="48" applyNumberFormat="1" applyFont="1" applyFill="1" applyBorder="1" applyAlignment="1" applyProtection="1">
      <alignment horizontal="right" vertical="center"/>
      <protection locked="0"/>
    </xf>
    <xf numFmtId="181" fontId="9" fillId="0" borderId="33" xfId="48" applyNumberFormat="1" applyFont="1" applyFill="1" applyBorder="1" applyAlignment="1" applyProtection="1">
      <alignment horizontal="right" vertical="center"/>
    </xf>
    <xf numFmtId="0" fontId="9" fillId="0" borderId="31" xfId="0" applyFont="1" applyFill="1" applyBorder="1" applyAlignment="1">
      <alignment vertical="center"/>
    </xf>
    <xf numFmtId="0" fontId="9" fillId="0" borderId="12" xfId="0" applyFont="1" applyFill="1" applyBorder="1" applyAlignment="1">
      <alignment vertical="center"/>
    </xf>
    <xf numFmtId="14" fontId="11" fillId="0" borderId="5"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xf>
    <xf numFmtId="16"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81" fontId="11" fillId="0" borderId="0" xfId="0" applyNumberFormat="1" applyFont="1" applyFill="1" applyBorder="1" applyAlignment="1" applyProtection="1">
      <alignment horizontal="center" vertical="center"/>
    </xf>
    <xf numFmtId="181" fontId="11" fillId="0" borderId="1" xfId="0" applyNumberFormat="1" applyFont="1" applyFill="1" applyBorder="1" applyAlignment="1" applyProtection="1">
      <alignment horizontal="center" vertical="center"/>
    </xf>
    <xf numFmtId="14" fontId="11" fillId="0" borderId="0" xfId="0" applyNumberFormat="1" applyFont="1" applyFill="1" applyBorder="1" applyAlignment="1" applyProtection="1">
      <alignment vertical="center" wrapText="1"/>
    </xf>
    <xf numFmtId="181" fontId="11" fillId="0" borderId="0" xfId="0" applyNumberFormat="1" applyFont="1" applyFill="1" applyBorder="1" applyAlignment="1" applyProtection="1">
      <alignment vertical="center"/>
    </xf>
    <xf numFmtId="181" fontId="11" fillId="0" borderId="1" xfId="0" applyNumberFormat="1" applyFont="1" applyFill="1" applyBorder="1" applyAlignment="1" applyProtection="1">
      <alignment vertical="center"/>
    </xf>
    <xf numFmtId="14" fontId="11" fillId="0" borderId="1" xfId="0" applyNumberFormat="1" applyFont="1" applyFill="1" applyBorder="1" applyAlignment="1" applyProtection="1">
      <alignment vertical="center"/>
    </xf>
    <xf numFmtId="0" fontId="11" fillId="0" borderId="5" xfId="0" applyFont="1" applyFill="1" applyBorder="1" applyAlignment="1" applyProtection="1">
      <alignment vertical="center"/>
    </xf>
    <xf numFmtId="0" fontId="11" fillId="0" borderId="0" xfId="0" applyFont="1" applyFill="1" applyBorder="1" applyAlignment="1" applyProtection="1">
      <alignment vertical="center"/>
    </xf>
    <xf numFmtId="2" fontId="9" fillId="0" borderId="0" xfId="0" applyNumberFormat="1" applyFont="1" applyFill="1" applyBorder="1" applyAlignment="1" applyProtection="1">
      <alignment horizontal="right" vertical="center"/>
    </xf>
    <xf numFmtId="181" fontId="9" fillId="0" borderId="0" xfId="0" applyNumberFormat="1" applyFont="1" applyFill="1" applyBorder="1" applyAlignment="1" applyProtection="1">
      <alignment vertical="center"/>
    </xf>
    <xf numFmtId="181" fontId="9" fillId="0" borderId="1" xfId="0" applyNumberFormat="1" applyFont="1" applyFill="1" applyBorder="1" applyAlignment="1" applyProtection="1">
      <alignment vertical="center"/>
    </xf>
    <xf numFmtId="0" fontId="9" fillId="0" borderId="0" xfId="6" applyNumberFormat="1" applyFont="1" applyFill="1" applyBorder="1" applyAlignment="1" applyProtection="1">
      <alignment horizontal="lef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81" fontId="9" fillId="0" borderId="1"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11" fillId="0" borderId="15" xfId="0"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2" fontId="9" fillId="0" borderId="15" xfId="0" applyNumberFormat="1" applyFont="1" applyFill="1" applyBorder="1" applyAlignment="1" applyProtection="1">
      <alignment horizontal="center" vertical="center"/>
    </xf>
    <xf numFmtId="181" fontId="9" fillId="0" borderId="15" xfId="0" applyNumberFormat="1" applyFont="1" applyFill="1" applyBorder="1" applyAlignment="1" applyProtection="1">
      <alignment horizontal="center" vertical="center"/>
    </xf>
    <xf numFmtId="181" fontId="9" fillId="0" borderId="26"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protection locked="0"/>
    </xf>
    <xf numFmtId="0" fontId="9" fillId="0" borderId="9" xfId="108" applyFont="1" applyFill="1" applyBorder="1" applyAlignment="1" applyProtection="1">
      <alignment horizontal="left" vertical="center"/>
      <protection locked="0"/>
    </xf>
    <xf numFmtId="2" fontId="9" fillId="0" borderId="9" xfId="0" applyNumberFormat="1" applyFont="1" applyFill="1" applyBorder="1" applyAlignment="1" applyProtection="1">
      <alignment horizontal="right" vertical="center"/>
      <protection locked="0"/>
    </xf>
    <xf numFmtId="0" fontId="9" fillId="0" borderId="5" xfId="0" applyFont="1" applyFill="1" applyBorder="1" applyAlignment="1" applyProtection="1">
      <alignment vertical="center"/>
    </xf>
    <xf numFmtId="181" fontId="9" fillId="0" borderId="1" xfId="0" applyNumberFormat="1" applyFont="1" applyFill="1" applyBorder="1" applyAlignment="1" applyProtection="1">
      <alignment horizontal="right" vertical="center"/>
    </xf>
    <xf numFmtId="181" fontId="9" fillId="0" borderId="9" xfId="48" applyNumberFormat="1" applyFont="1" applyFill="1" applyBorder="1" applyAlignment="1" applyProtection="1">
      <alignment vertical="center"/>
      <protection locked="0"/>
    </xf>
    <xf numFmtId="0" fontId="9" fillId="0" borderId="9" xfId="19" applyFont="1" applyFill="1" applyBorder="1" applyAlignment="1">
      <alignment vertical="center"/>
    </xf>
    <xf numFmtId="0" fontId="9" fillId="0" borderId="9" xfId="5" applyFont="1" applyFill="1" applyBorder="1" applyAlignment="1" applyProtection="1">
      <alignment horizontal="left" vertical="center"/>
      <protection locked="0"/>
    </xf>
    <xf numFmtId="0" fontId="9" fillId="0" borderId="34"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0" fontId="9" fillId="0" borderId="17" xfId="0" applyFont="1" applyFill="1" applyBorder="1" applyAlignment="1" applyProtection="1">
      <alignment vertical="center"/>
    </xf>
    <xf numFmtId="2" fontId="9" fillId="0" borderId="17" xfId="0" applyNumberFormat="1" applyFont="1" applyFill="1" applyBorder="1" applyAlignment="1" applyProtection="1">
      <alignment horizontal="right" vertical="center"/>
    </xf>
    <xf numFmtId="181" fontId="9" fillId="0" borderId="17" xfId="0" applyNumberFormat="1" applyFont="1" applyFill="1" applyBorder="1" applyAlignment="1" applyProtection="1">
      <alignment vertical="center"/>
    </xf>
    <xf numFmtId="181" fontId="9" fillId="0" borderId="20" xfId="0" applyNumberFormat="1" applyFont="1" applyFill="1" applyBorder="1" applyAlignment="1" applyProtection="1">
      <alignment horizontal="right" vertical="center"/>
    </xf>
    <xf numFmtId="0" fontId="9" fillId="0" borderId="22" xfId="0" applyFont="1" applyFill="1" applyBorder="1" applyAlignment="1" applyProtection="1">
      <alignment horizontal="left" vertical="center"/>
    </xf>
    <xf numFmtId="0" fontId="9" fillId="0" borderId="22"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181" fontId="9" fillId="0" borderId="24" xfId="0" applyNumberFormat="1" applyFont="1" applyFill="1" applyBorder="1" applyAlignment="1" applyProtection="1">
      <alignment horizontal="left" vertical="center"/>
    </xf>
    <xf numFmtId="181" fontId="9" fillId="0" borderId="49" xfId="48" applyNumberFormat="1" applyFont="1" applyFill="1" applyBorder="1" applyAlignment="1" applyProtection="1">
      <alignment horizontal="right" vertical="center"/>
    </xf>
    <xf numFmtId="0" fontId="11" fillId="0" borderId="2" xfId="0" applyFont="1" applyFill="1" applyBorder="1" applyAlignment="1" applyProtection="1">
      <alignment vertical="center"/>
    </xf>
    <xf numFmtId="0" fontId="11" fillId="0" borderId="3" xfId="0" applyFont="1" applyFill="1" applyBorder="1" applyAlignment="1" applyProtection="1">
      <alignment vertical="center"/>
    </xf>
    <xf numFmtId="0" fontId="11" fillId="0" borderId="4" xfId="0" applyFont="1" applyFill="1" applyBorder="1" applyAlignment="1" applyProtection="1">
      <alignment vertical="center"/>
    </xf>
    <xf numFmtId="0" fontId="9" fillId="0" borderId="0" xfId="0" applyNumberFormat="1" applyFont="1" applyFill="1" applyBorder="1" applyAlignment="1" applyProtection="1">
      <alignment horizontal="left" vertical="center"/>
    </xf>
    <xf numFmtId="0" fontId="9" fillId="0" borderId="21" xfId="0" applyNumberFormat="1" applyFont="1" applyFill="1" applyBorder="1" applyAlignment="1" applyProtection="1">
      <alignment horizontal="center" vertical="center"/>
    </xf>
    <xf numFmtId="0" fontId="9" fillId="0" borderId="9" xfId="0" applyFont="1" applyFill="1" applyBorder="1" applyAlignment="1">
      <alignment horizontal="left" vertical="center"/>
    </xf>
    <xf numFmtId="0" fontId="9" fillId="0" borderId="9" xfId="0" applyFont="1" applyFill="1" applyBorder="1" applyAlignment="1">
      <alignment vertical="center"/>
    </xf>
    <xf numFmtId="44" fontId="0" fillId="0" borderId="0" xfId="0" applyNumberFormat="1" applyFill="1" applyAlignment="1" applyProtection="1">
      <alignment vertical="center"/>
    </xf>
    <xf numFmtId="0" fontId="12" fillId="0" borderId="0" xfId="0" applyFont="1"/>
    <xf numFmtId="44" fontId="12" fillId="0" borderId="0" xfId="2" applyFont="1"/>
    <xf numFmtId="10" fontId="0" fillId="0" borderId="0" xfId="1" applyNumberFormat="1" applyFont="1"/>
    <xf numFmtId="0" fontId="8" fillId="0" borderId="0" xfId="0" applyFont="1"/>
    <xf numFmtId="44" fontId="0" fillId="0" borderId="0" xfId="2" applyFont="1"/>
    <xf numFmtId="166" fontId="12" fillId="0" borderId="0" xfId="0" applyNumberFormat="1" applyFont="1"/>
    <xf numFmtId="166" fontId="8" fillId="0" borderId="0" xfId="0" applyNumberFormat="1" applyFont="1"/>
    <xf numFmtId="166" fontId="0" fillId="0" borderId="0" xfId="0" applyNumberFormat="1" applyFill="1" applyAlignment="1" applyProtection="1">
      <alignment vertical="center"/>
      <protection hidden="1"/>
    </xf>
    <xf numFmtId="10" fontId="8" fillId="7" borderId="9" xfId="15" applyNumberFormat="1" applyFont="1" applyFill="1" applyBorder="1" applyAlignment="1" applyProtection="1">
      <alignment vertical="center"/>
      <protection locked="0"/>
    </xf>
    <xf numFmtId="178" fontId="12" fillId="0" borderId="31" xfId="6" applyNumberFormat="1" applyFont="1" applyFill="1" applyBorder="1" applyAlignment="1" applyProtection="1">
      <alignment horizontal="center" vertical="center"/>
      <protection hidden="1"/>
    </xf>
    <xf numFmtId="178" fontId="12" fillId="0" borderId="28" xfId="6" applyNumberFormat="1" applyFont="1" applyFill="1" applyBorder="1" applyAlignment="1" applyProtection="1">
      <alignment horizontal="center" vertical="center"/>
      <protection hidden="1"/>
    </xf>
    <xf numFmtId="44" fontId="12" fillId="0" borderId="0" xfId="0" applyNumberFormat="1" applyFont="1" applyFill="1" applyBorder="1" applyAlignment="1" applyProtection="1">
      <alignment horizontal="right" vertical="center"/>
    </xf>
    <xf numFmtId="0" fontId="43" fillId="0" borderId="0" xfId="0" applyFont="1" applyFill="1" applyBorder="1" applyAlignment="1" applyProtection="1">
      <alignment horizontal="left" vertical="center"/>
      <protection hidden="1"/>
    </xf>
    <xf numFmtId="10" fontId="0" fillId="7" borderId="9" xfId="1" applyNumberFormat="1" applyFont="1" applyFill="1" applyBorder="1" applyAlignment="1">
      <alignment vertical="center"/>
    </xf>
    <xf numFmtId="10" fontId="8" fillId="7" borderId="12" xfId="15" applyNumberFormat="1" applyFont="1" applyFill="1" applyBorder="1" applyAlignment="1" applyProtection="1">
      <alignment vertical="center"/>
      <protection locked="0"/>
    </xf>
    <xf numFmtId="10" fontId="0" fillId="7" borderId="52" xfId="1" applyNumberFormat="1" applyFont="1" applyFill="1" applyBorder="1" applyAlignment="1">
      <alignment vertical="center"/>
    </xf>
    <xf numFmtId="166" fontId="0" fillId="0" borderId="0" xfId="0" applyNumberFormat="1" applyFill="1" applyBorder="1" applyAlignment="1" applyProtection="1">
      <alignment horizontal="right" vertical="center"/>
      <protection hidden="1"/>
    </xf>
    <xf numFmtId="44" fontId="12" fillId="0" borderId="1" xfId="2" applyFont="1" applyFill="1" applyBorder="1" applyAlignment="1" applyProtection="1">
      <alignment horizontal="right" vertical="center"/>
    </xf>
    <xf numFmtId="166" fontId="0" fillId="0" borderId="0" xfId="0" applyNumberFormat="1"/>
    <xf numFmtId="194" fontId="8" fillId="5" borderId="9" xfId="0" applyNumberFormat="1" applyFont="1" applyFill="1" applyBorder="1" applyAlignment="1" applyProtection="1">
      <alignment horizontal="center" vertical="center"/>
      <protection locked="0"/>
    </xf>
    <xf numFmtId="167" fontId="0" fillId="0" borderId="0" xfId="81" applyFont="1" applyFill="1" applyAlignment="1" applyProtection="1">
      <alignment vertical="center"/>
    </xf>
    <xf numFmtId="167" fontId="0" fillId="0" borderId="0" xfId="81" applyFont="1" applyFill="1" applyAlignment="1" applyProtection="1">
      <alignment vertical="center"/>
      <protection hidden="1"/>
    </xf>
    <xf numFmtId="196" fontId="0" fillId="0" borderId="0" xfId="0" applyNumberFormat="1" applyFill="1" applyAlignment="1" applyProtection="1">
      <alignment vertical="center"/>
    </xf>
    <xf numFmtId="0" fontId="9" fillId="0" borderId="25" xfId="0" applyFont="1" applyFill="1" applyBorder="1" applyAlignment="1" applyProtection="1">
      <alignment horizontal="center" vertical="center" wrapText="1"/>
    </xf>
    <xf numFmtId="181" fontId="9" fillId="0" borderId="30" xfId="0" applyNumberFormat="1" applyFont="1" applyFill="1" applyBorder="1" applyAlignment="1" applyProtection="1">
      <alignment horizontal="center" vertical="center"/>
    </xf>
    <xf numFmtId="0" fontId="12" fillId="5" borderId="12"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49" fontId="12" fillId="0" borderId="9" xfId="0" applyNumberFormat="1"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12"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0" xfId="6" applyFont="1" applyFill="1" applyBorder="1" applyAlignment="1" applyProtection="1">
      <alignment horizontal="left" vertical="center"/>
      <protection hidden="1"/>
    </xf>
    <xf numFmtId="0" fontId="12" fillId="0" borderId="0" xfId="6" quotePrefix="1" applyNumberFormat="1" applyFont="1" applyFill="1" applyBorder="1" applyAlignment="1" applyProtection="1">
      <alignment horizontal="left" vertical="center"/>
      <protection hidden="1"/>
    </xf>
    <xf numFmtId="176" fontId="12" fillId="0" borderId="0" xfId="6" applyNumberFormat="1" applyFont="1" applyFill="1" applyBorder="1" applyAlignment="1" applyProtection="1">
      <alignment horizontal="left" vertical="center"/>
      <protection hidden="1"/>
    </xf>
    <xf numFmtId="181" fontId="12" fillId="0" borderId="0" xfId="0" applyNumberFormat="1" applyFont="1" applyFill="1" applyBorder="1" applyAlignment="1" applyProtection="1">
      <alignment horizontal="left" vertical="center"/>
      <protection hidden="1"/>
    </xf>
    <xf numFmtId="181" fontId="12" fillId="0" borderId="0" xfId="6" applyNumberFormat="1" applyFont="1" applyFill="1" applyBorder="1" applyAlignment="1" applyProtection="1">
      <alignment horizontal="left" vertical="center"/>
      <protection hidden="1"/>
    </xf>
    <xf numFmtId="181" fontId="12" fillId="0" borderId="0" xfId="6" quotePrefix="1" applyNumberFormat="1" applyFont="1" applyFill="1" applyBorder="1" applyAlignment="1" applyProtection="1">
      <alignment horizontal="left" vertical="center"/>
      <protection hidden="1"/>
    </xf>
    <xf numFmtId="181" fontId="12" fillId="0" borderId="0" xfId="2" applyNumberFormat="1" applyFont="1" applyFill="1" applyAlignment="1" applyProtection="1">
      <alignment horizontal="left" vertical="center"/>
      <protection hidden="1"/>
    </xf>
    <xf numFmtId="10" fontId="12" fillId="0" borderId="0" xfId="1" applyNumberFormat="1" applyFont="1" applyFill="1" applyBorder="1" applyAlignment="1" applyProtection="1">
      <alignment horizontal="left" vertical="center"/>
      <protection hidden="1"/>
    </xf>
    <xf numFmtId="0" fontId="12" fillId="0" borderId="0" xfId="2" applyNumberFormat="1" applyFont="1" applyFill="1" applyAlignment="1" applyProtection="1">
      <alignment horizontal="left" vertical="center"/>
      <protection hidden="1"/>
    </xf>
    <xf numFmtId="181" fontId="12" fillId="0" borderId="0" xfId="2" applyNumberFormat="1" applyFont="1" applyFill="1" applyBorder="1" applyAlignment="1" applyProtection="1">
      <alignment horizontal="left" vertical="center"/>
      <protection hidden="1"/>
    </xf>
    <xf numFmtId="10" fontId="0" fillId="0" borderId="0" xfId="1" applyNumberFormat="1" applyFont="1" applyAlignment="1">
      <alignment horizontal="left"/>
    </xf>
    <xf numFmtId="176" fontId="0" fillId="0" borderId="0" xfId="0" applyNumberFormat="1" applyAlignment="1">
      <alignment horizontal="left"/>
    </xf>
    <xf numFmtId="14" fontId="0" fillId="0" borderId="0" xfId="0" applyNumberFormat="1" applyAlignment="1">
      <alignment horizontal="left"/>
    </xf>
    <xf numFmtId="0" fontId="12" fillId="4" borderId="9" xfId="0" applyFont="1" applyFill="1" applyBorder="1" applyAlignment="1" applyProtection="1">
      <alignment horizontal="left" vertical="center"/>
      <protection locked="0"/>
    </xf>
    <xf numFmtId="0" fontId="12" fillId="3" borderId="9" xfId="0" applyFont="1" applyFill="1" applyBorder="1" applyAlignment="1" applyProtection="1">
      <alignment horizontal="left" vertical="center"/>
      <protection locked="0"/>
    </xf>
    <xf numFmtId="0" fontId="12" fillId="3" borderId="9" xfId="6" applyFont="1" applyFill="1" applyBorder="1" applyAlignment="1" applyProtection="1">
      <alignment horizontal="left" vertical="center" shrinkToFit="1"/>
      <protection locked="0"/>
    </xf>
    <xf numFmtId="169" fontId="12" fillId="3" borderId="9" xfId="6" applyNumberFormat="1"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44" fontId="8" fillId="3" borderId="9" xfId="2" applyFont="1" applyFill="1" applyBorder="1" applyAlignment="1" applyProtection="1">
      <alignment horizontal="center" vertical="center"/>
      <protection locked="0"/>
    </xf>
    <xf numFmtId="0" fontId="8" fillId="3" borderId="47" xfId="0" applyFont="1" applyFill="1" applyBorder="1"/>
    <xf numFmtId="0" fontId="0" fillId="3" borderId="47" xfId="0" applyFill="1" applyBorder="1"/>
    <xf numFmtId="14"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xf>
    <xf numFmtId="188"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xf>
    <xf numFmtId="188" fontId="12" fillId="0" borderId="0" xfId="6" applyNumberFormat="1" applyFont="1" applyFill="1" applyBorder="1" applyAlignment="1" applyProtection="1">
      <alignment horizontal="left" vertical="center"/>
      <protection hidden="1"/>
    </xf>
    <xf numFmtId="0" fontId="11" fillId="0" borderId="0" xfId="0" applyFont="1" applyFill="1" applyBorder="1" applyAlignment="1" applyProtection="1">
      <alignment horizontal="right" vertical="center"/>
      <protection hidden="1"/>
    </xf>
    <xf numFmtId="0" fontId="43" fillId="0" borderId="0" xfId="6" quotePrefix="1" applyNumberFormat="1" applyFont="1" applyFill="1" applyBorder="1" applyAlignment="1" applyProtection="1">
      <alignment horizontal="left" vertical="center"/>
      <protection hidden="1"/>
    </xf>
    <xf numFmtId="4" fontId="0" fillId="0" borderId="0" xfId="0" applyNumberFormat="1"/>
    <xf numFmtId="4" fontId="8" fillId="0" borderId="0" xfId="0" applyNumberFormat="1" applyFont="1" applyFill="1" applyAlignment="1" applyProtection="1">
      <alignment vertical="center"/>
    </xf>
    <xf numFmtId="0" fontId="12" fillId="0" borderId="0" xfId="0" applyFont="1" applyFill="1" applyBorder="1" applyAlignment="1" applyProtection="1">
      <alignment horizontal="center" vertical="center"/>
    </xf>
    <xf numFmtId="0" fontId="12" fillId="0" borderId="0" xfId="0" applyNumberFormat="1" applyFont="1" applyFill="1" applyBorder="1" applyAlignment="1" applyProtection="1">
      <alignment horizontal="left" vertical="center"/>
      <protection hidden="1"/>
    </xf>
    <xf numFmtId="0" fontId="12" fillId="0" borderId="0" xfId="6" applyNumberFormat="1" applyFont="1" applyFill="1" applyBorder="1" applyAlignment="1" applyProtection="1">
      <alignment horizontal="left" vertical="center"/>
      <protection hidden="1"/>
    </xf>
    <xf numFmtId="44" fontId="9" fillId="0" borderId="0" xfId="2" applyFont="1" applyFill="1" applyBorder="1" applyAlignment="1">
      <alignment vertical="center"/>
    </xf>
    <xf numFmtId="166" fontId="9" fillId="0" borderId="0" xfId="19" applyNumberFormat="1" applyFont="1" applyFill="1" applyBorder="1" applyAlignment="1">
      <alignment vertical="center"/>
    </xf>
    <xf numFmtId="0" fontId="9" fillId="0" borderId="9" xfId="0" applyFont="1" applyBorder="1" applyAlignment="1">
      <alignment vertical="center"/>
    </xf>
    <xf numFmtId="0" fontId="8" fillId="3" borderId="18" xfId="0" applyNumberFormat="1" applyFont="1" applyFill="1" applyBorder="1" applyAlignment="1" applyProtection="1">
      <alignment horizontal="center" vertical="center"/>
    </xf>
    <xf numFmtId="49" fontId="8" fillId="5" borderId="9" xfId="0" applyNumberFormat="1" applyFont="1" applyFill="1" applyBorder="1" applyAlignment="1" applyProtection="1">
      <alignment horizontal="center" vertical="center"/>
    </xf>
    <xf numFmtId="0" fontId="8" fillId="0" borderId="18" xfId="0" applyNumberFormat="1" applyFont="1" applyFill="1" applyBorder="1" applyAlignment="1" applyProtection="1">
      <alignment horizontal="left" vertical="center"/>
    </xf>
    <xf numFmtId="0" fontId="9" fillId="0" borderId="0" xfId="0" applyFont="1" applyFill="1" applyBorder="1" applyAlignment="1">
      <alignment vertical="center"/>
    </xf>
    <xf numFmtId="0" fontId="9" fillId="0" borderId="0" xfId="0" applyFont="1" applyBorder="1" applyAlignment="1">
      <alignment vertical="center"/>
    </xf>
    <xf numFmtId="0" fontId="11" fillId="0" borderId="0" xfId="0" applyFont="1" applyBorder="1" applyAlignment="1">
      <alignment vertical="center"/>
    </xf>
    <xf numFmtId="0" fontId="9" fillId="0" borderId="0" xfId="0" applyFont="1" applyBorder="1" applyAlignment="1">
      <alignment horizontal="center" vertical="center"/>
    </xf>
    <xf numFmtId="44" fontId="9" fillId="0" borderId="0" xfId="2" applyFont="1" applyBorder="1" applyAlignment="1">
      <alignment vertical="center"/>
    </xf>
    <xf numFmtId="0" fontId="9" fillId="0" borderId="9" xfId="0" applyFont="1" applyBorder="1" applyAlignment="1">
      <alignment horizontal="center" vertical="center"/>
    </xf>
    <xf numFmtId="44" fontId="9" fillId="0" borderId="9" xfId="2" applyFont="1" applyBorder="1" applyAlignment="1">
      <alignment vertical="center"/>
    </xf>
    <xf numFmtId="0" fontId="9" fillId="0" borderId="9" xfId="0" applyFont="1" applyFill="1" applyBorder="1" applyAlignment="1">
      <alignment horizontal="center" vertical="center"/>
    </xf>
    <xf numFmtId="0" fontId="9" fillId="0" borderId="0" xfId="108" applyFont="1" applyFill="1" applyBorder="1" applyAlignment="1" applyProtection="1">
      <alignment horizontal="left" vertical="center"/>
      <protection locked="0"/>
    </xf>
    <xf numFmtId="0" fontId="8" fillId="4" borderId="9" xfId="0" applyFont="1" applyFill="1" applyBorder="1" applyAlignment="1" applyProtection="1">
      <alignment horizontal="center" vertical="center"/>
    </xf>
    <xf numFmtId="0" fontId="0" fillId="7" borderId="0" xfId="0" applyFill="1"/>
    <xf numFmtId="44" fontId="0" fillId="0" borderId="0" xfId="2" applyFont="1" applyFill="1" applyAlignment="1" applyProtection="1">
      <alignment vertical="center"/>
      <protection hidden="1"/>
    </xf>
    <xf numFmtId="182" fontId="0" fillId="0" borderId="0" xfId="0" applyNumberFormat="1" applyFill="1" applyAlignment="1" applyProtection="1">
      <alignment vertical="center"/>
      <protection hidden="1"/>
    </xf>
    <xf numFmtId="195" fontId="0" fillId="0" borderId="0" xfId="0" applyNumberFormat="1"/>
    <xf numFmtId="197" fontId="0" fillId="0" borderId="0" xfId="0" applyNumberFormat="1"/>
    <xf numFmtId="10" fontId="8" fillId="0" borderId="0" xfId="6" applyNumberFormat="1" applyFont="1" applyFill="1" applyAlignment="1" applyProtection="1">
      <alignment vertical="center"/>
      <protection hidden="1"/>
    </xf>
    <xf numFmtId="44" fontId="0" fillId="0" borderId="0" xfId="2" applyFont="1" applyFill="1" applyAlignment="1" applyProtection="1">
      <alignment vertical="center"/>
    </xf>
    <xf numFmtId="44" fontId="0" fillId="0" borderId="0" xfId="2" applyNumberFormat="1" applyFont="1" applyFill="1"/>
    <xf numFmtId="10" fontId="0" fillId="7" borderId="53" xfId="1" applyNumberFormat="1" applyFont="1" applyFill="1" applyBorder="1" applyAlignment="1">
      <alignment vertical="center"/>
    </xf>
    <xf numFmtId="10" fontId="0" fillId="7" borderId="12" xfId="1" applyNumberFormat="1" applyFont="1" applyFill="1" applyBorder="1" applyAlignment="1">
      <alignment vertical="center"/>
    </xf>
    <xf numFmtId="0" fontId="8" fillId="7" borderId="9" xfId="6" applyFont="1" applyFill="1" applyBorder="1" applyAlignment="1" applyProtection="1">
      <alignment vertical="center"/>
      <protection hidden="1"/>
    </xf>
    <xf numFmtId="10" fontId="0" fillId="7" borderId="18" xfId="1" applyNumberFormat="1" applyFont="1" applyFill="1" applyBorder="1" applyAlignment="1">
      <alignment vertical="center"/>
    </xf>
    <xf numFmtId="0" fontId="8" fillId="7" borderId="0" xfId="6" applyFont="1" applyFill="1" applyAlignment="1" applyProtection="1">
      <alignment vertical="center"/>
      <protection hidden="1"/>
    </xf>
    <xf numFmtId="189" fontId="12" fillId="0" borderId="35" xfId="6" applyNumberFormat="1" applyFont="1" applyFill="1" applyBorder="1" applyAlignment="1" applyProtection="1">
      <alignment horizontal="center" vertical="center" wrapText="1"/>
      <protection hidden="1"/>
    </xf>
    <xf numFmtId="10" fontId="8" fillId="0" borderId="55" xfId="6" applyNumberFormat="1" applyFont="1" applyFill="1" applyBorder="1" applyAlignment="1" applyProtection="1">
      <alignment vertical="center"/>
      <protection hidden="1"/>
    </xf>
    <xf numFmtId="49" fontId="12" fillId="3" borderId="9" xfId="6" applyNumberFormat="1" applyFont="1" applyFill="1" applyBorder="1" applyAlignment="1" applyProtection="1">
      <alignment horizontal="left" vertical="center"/>
      <protection locked="0"/>
    </xf>
    <xf numFmtId="0" fontId="12" fillId="3" borderId="9" xfId="6" applyFont="1" applyFill="1" applyBorder="1" applyAlignment="1" applyProtection="1">
      <alignment horizontal="left" vertical="center"/>
      <protection locked="0"/>
    </xf>
    <xf numFmtId="14" fontId="12" fillId="3" borderId="9" xfId="6" applyNumberFormat="1" applyFont="1" applyFill="1" applyBorder="1" applyAlignment="1" applyProtection="1">
      <alignment horizontal="left" vertical="center"/>
      <protection locked="0"/>
    </xf>
    <xf numFmtId="176" fontId="12" fillId="3" borderId="9" xfId="6" applyNumberFormat="1" applyFont="1" applyFill="1" applyBorder="1" applyAlignment="1" applyProtection="1">
      <alignment horizontal="left" vertical="center"/>
      <protection locked="0"/>
    </xf>
    <xf numFmtId="10" fontId="12" fillId="3" borderId="9" xfId="1" applyNumberFormat="1" applyFont="1" applyFill="1" applyBorder="1" applyAlignment="1" applyProtection="1">
      <alignment horizontal="left" vertical="center"/>
      <protection locked="0"/>
    </xf>
    <xf numFmtId="13" fontId="8" fillId="0" borderId="0" xfId="6" applyNumberFormat="1" applyFont="1" applyFill="1" applyBorder="1" applyAlignment="1" applyProtection="1">
      <alignment vertical="center"/>
      <protection hidden="1"/>
    </xf>
    <xf numFmtId="10" fontId="8" fillId="7" borderId="9" xfId="1" applyNumberFormat="1" applyFont="1" applyFill="1" applyBorder="1" applyAlignment="1">
      <alignment vertical="center"/>
    </xf>
    <xf numFmtId="10" fontId="8" fillId="7" borderId="52" xfId="1" applyNumberFormat="1" applyFont="1" applyFill="1" applyBorder="1" applyAlignment="1">
      <alignment vertical="center"/>
    </xf>
    <xf numFmtId="10" fontId="8" fillId="7" borderId="53" xfId="1" applyNumberFormat="1" applyFont="1" applyFill="1" applyBorder="1" applyAlignment="1">
      <alignment vertical="center"/>
    </xf>
    <xf numFmtId="171" fontId="8" fillId="7" borderId="0" xfId="6" applyNumberFormat="1" applyFont="1" applyFill="1" applyBorder="1" applyAlignment="1" applyProtection="1">
      <alignment vertical="center"/>
      <protection hidden="1"/>
    </xf>
    <xf numFmtId="10" fontId="8" fillId="7" borderId="0" xfId="15" applyNumberFormat="1" applyFont="1" applyFill="1" applyBorder="1" applyAlignment="1" applyProtection="1">
      <alignment vertical="center"/>
      <protection locked="0"/>
    </xf>
    <xf numFmtId="10" fontId="8" fillId="7" borderId="0" xfId="6" applyNumberFormat="1" applyFont="1" applyFill="1" applyBorder="1" applyAlignment="1" applyProtection="1">
      <alignment vertical="center"/>
      <protection hidden="1"/>
    </xf>
    <xf numFmtId="0" fontId="8" fillId="7" borderId="9" xfId="6" applyFont="1" applyFill="1" applyBorder="1" applyAlignment="1" applyProtection="1">
      <alignment horizontal="right" vertical="center"/>
      <protection hidden="1"/>
    </xf>
    <xf numFmtId="10" fontId="8" fillId="7" borderId="9" xfId="15" applyNumberFormat="1" applyFont="1" applyFill="1" applyBorder="1" applyAlignment="1" applyProtection="1">
      <alignment vertical="center"/>
      <protection hidden="1"/>
    </xf>
    <xf numFmtId="0" fontId="8" fillId="7" borderId="0" xfId="6" applyFont="1" applyFill="1" applyBorder="1" applyAlignment="1" applyProtection="1">
      <alignment vertical="center"/>
      <protection hidden="1"/>
    </xf>
    <xf numFmtId="0" fontId="8" fillId="7" borderId="0" xfId="6" applyFont="1" applyFill="1" applyAlignment="1" applyProtection="1">
      <alignment horizontal="center" vertical="center"/>
      <protection hidden="1"/>
    </xf>
    <xf numFmtId="0" fontId="8" fillId="7" borderId="0" xfId="6" applyFont="1" applyFill="1" applyBorder="1" applyAlignment="1" applyProtection="1">
      <alignment horizontal="right" vertical="center"/>
      <protection hidden="1"/>
    </xf>
    <xf numFmtId="189" fontId="8" fillId="7" borderId="0" xfId="6" applyNumberFormat="1" applyFont="1" applyFill="1" applyAlignment="1" applyProtection="1">
      <alignment vertical="center"/>
      <protection hidden="1"/>
    </xf>
    <xf numFmtId="44" fontId="8" fillId="7" borderId="9" xfId="6" applyNumberFormat="1" applyFont="1" applyFill="1" applyBorder="1" applyAlignment="1" applyProtection="1">
      <alignment vertical="center"/>
      <protection hidden="1"/>
    </xf>
    <xf numFmtId="167" fontId="8" fillId="7" borderId="0" xfId="81" applyFont="1" applyFill="1" applyAlignment="1" applyProtection="1">
      <alignment vertical="center"/>
      <protection hidden="1"/>
    </xf>
    <xf numFmtId="2" fontId="13" fillId="7" borderId="0" xfId="6" applyNumberFormat="1" applyFont="1" applyFill="1" applyBorder="1" applyAlignment="1" applyProtection="1">
      <alignment vertical="center"/>
      <protection hidden="1"/>
    </xf>
    <xf numFmtId="10" fontId="8" fillId="7" borderId="0" xfId="6" applyNumberFormat="1" applyFont="1" applyFill="1" applyAlignment="1" applyProtection="1">
      <alignment vertical="center"/>
      <protection hidden="1"/>
    </xf>
    <xf numFmtId="44" fontId="45" fillId="0" borderId="0" xfId="2" applyFont="1" applyFill="1" applyAlignment="1" applyProtection="1">
      <alignment vertical="center"/>
      <protection hidden="1"/>
    </xf>
    <xf numFmtId="0" fontId="8" fillId="7" borderId="12" xfId="6" applyFont="1" applyFill="1" applyBorder="1" applyAlignment="1" applyProtection="1">
      <alignment vertical="center"/>
      <protection hidden="1"/>
    </xf>
    <xf numFmtId="0" fontId="12" fillId="7" borderId="18" xfId="6" applyFont="1" applyFill="1" applyBorder="1" applyAlignment="1" applyProtection="1">
      <alignment horizontal="left" vertical="center" wrapText="1"/>
      <protection hidden="1"/>
    </xf>
    <xf numFmtId="171" fontId="8" fillId="7" borderId="9" xfId="1" applyNumberFormat="1" applyFont="1" applyFill="1" applyBorder="1" applyAlignment="1" applyProtection="1">
      <alignment vertical="center"/>
      <protection hidden="1"/>
    </xf>
    <xf numFmtId="166" fontId="8" fillId="7" borderId="0" xfId="6" applyNumberFormat="1" applyFont="1" applyFill="1" applyBorder="1" applyAlignment="1" applyProtection="1">
      <alignment vertical="center"/>
      <protection hidden="1"/>
    </xf>
    <xf numFmtId="10" fontId="8" fillId="7" borderId="55" xfId="6" applyNumberFormat="1" applyFont="1" applyFill="1" applyBorder="1" applyAlignment="1" applyProtection="1">
      <alignment vertical="center"/>
      <protection hidden="1"/>
    </xf>
    <xf numFmtId="10" fontId="0" fillId="0" borderId="53" xfId="1" applyNumberFormat="1" applyFont="1" applyFill="1" applyBorder="1" applyAlignment="1">
      <alignment vertical="center"/>
    </xf>
    <xf numFmtId="10" fontId="0" fillId="0" borderId="9" xfId="1" applyNumberFormat="1" applyFont="1" applyFill="1" applyBorder="1" applyAlignment="1">
      <alignment vertical="center"/>
    </xf>
    <xf numFmtId="10" fontId="8" fillId="0" borderId="12" xfId="15" applyNumberFormat="1" applyFont="1" applyFill="1" applyBorder="1" applyAlignment="1" applyProtection="1">
      <alignment vertical="center"/>
      <protection locked="0"/>
    </xf>
    <xf numFmtId="10" fontId="8" fillId="0" borderId="9" xfId="15" applyNumberFormat="1" applyFont="1" applyFill="1" applyBorder="1" applyAlignment="1" applyProtection="1">
      <alignment vertical="center"/>
      <protection locked="0"/>
    </xf>
    <xf numFmtId="44" fontId="8" fillId="0" borderId="0" xfId="2" applyFont="1"/>
    <xf numFmtId="188" fontId="12" fillId="0" borderId="0" xfId="6" applyNumberFormat="1" applyFont="1" applyFill="1" applyBorder="1" applyAlignment="1" applyProtection="1">
      <alignment horizontal="left" vertical="center"/>
      <protection hidden="1"/>
    </xf>
    <xf numFmtId="0" fontId="12" fillId="0" borderId="15" xfId="0" applyFont="1" applyFill="1" applyBorder="1" applyAlignment="1" applyProtection="1">
      <alignment horizontal="center" vertical="center"/>
      <protection hidden="1"/>
    </xf>
    <xf numFmtId="0" fontId="12" fillId="0" borderId="13" xfId="0" applyNumberFormat="1" applyFont="1" applyFill="1" applyBorder="1" applyAlignment="1" applyProtection="1">
      <alignment horizontal="left" vertical="center"/>
      <protection hidden="1"/>
    </xf>
    <xf numFmtId="0" fontId="0" fillId="0" borderId="15" xfId="0" applyFill="1" applyBorder="1" applyAlignment="1" applyProtection="1">
      <alignment vertical="center"/>
      <protection hidden="1"/>
    </xf>
    <xf numFmtId="0" fontId="12" fillId="0" borderId="15" xfId="0" applyFont="1" applyFill="1" applyBorder="1" applyAlignment="1" applyProtection="1">
      <alignment horizontal="center" vertical="center" wrapText="1"/>
      <protection hidden="1"/>
    </xf>
    <xf numFmtId="0" fontId="8" fillId="8" borderId="14" xfId="0" applyFont="1" applyFill="1" applyBorder="1" applyAlignment="1" applyProtection="1">
      <alignment horizontal="left" vertical="center"/>
    </xf>
    <xf numFmtId="4" fontId="8" fillId="8" borderId="30" xfId="0" applyNumberFormat="1" applyFont="1" applyFill="1" applyBorder="1" applyAlignment="1" applyProtection="1">
      <alignment horizontal="center" vertical="center"/>
    </xf>
    <xf numFmtId="182" fontId="8" fillId="8" borderId="30" xfId="2" applyNumberFormat="1" applyFont="1" applyFill="1" applyBorder="1" applyAlignment="1" applyProtection="1">
      <alignment vertical="center"/>
      <protection hidden="1"/>
    </xf>
    <xf numFmtId="0" fontId="12" fillId="8" borderId="31" xfId="0" applyFont="1" applyFill="1" applyBorder="1" applyAlignment="1" applyProtection="1">
      <alignment horizontal="center" vertical="center"/>
    </xf>
    <xf numFmtId="0" fontId="12" fillId="8" borderId="28" xfId="0" applyFont="1" applyFill="1" applyBorder="1" applyAlignment="1" applyProtection="1">
      <alignment horizontal="left" vertical="center"/>
    </xf>
    <xf numFmtId="0" fontId="14" fillId="8" borderId="28" xfId="0" applyFont="1" applyFill="1" applyBorder="1" applyAlignment="1" applyProtection="1">
      <alignment horizontal="left" vertical="center"/>
    </xf>
    <xf numFmtId="0" fontId="12" fillId="8" borderId="28" xfId="0" applyFont="1" applyFill="1" applyBorder="1" applyAlignment="1" applyProtection="1">
      <alignment horizontal="right" vertical="center"/>
    </xf>
    <xf numFmtId="0" fontId="0" fillId="8" borderId="28" xfId="0" applyFill="1" applyBorder="1" applyAlignment="1" applyProtection="1">
      <alignment vertical="center"/>
    </xf>
    <xf numFmtId="44" fontId="12" fillId="8" borderId="29" xfId="0" applyNumberFormat="1" applyFont="1" applyFill="1" applyBorder="1" applyAlignment="1" applyProtection="1">
      <alignment vertical="center"/>
    </xf>
    <xf numFmtId="0" fontId="12" fillId="8" borderId="13" xfId="0" applyFont="1" applyFill="1" applyBorder="1" applyAlignment="1" applyProtection="1">
      <alignment horizontal="center" vertical="center"/>
    </xf>
    <xf numFmtId="0" fontId="12" fillId="8" borderId="0" xfId="0" applyFont="1" applyFill="1" applyBorder="1" applyAlignment="1" applyProtection="1">
      <alignment horizontal="left" vertical="center"/>
    </xf>
    <xf numFmtId="0" fontId="14" fillId="8" borderId="0" xfId="0" applyFont="1" applyFill="1" applyBorder="1" applyAlignment="1" applyProtection="1">
      <alignment horizontal="left" vertical="center"/>
    </xf>
    <xf numFmtId="0" fontId="12" fillId="8" borderId="0" xfId="0" applyFont="1" applyFill="1" applyBorder="1" applyAlignment="1" applyProtection="1">
      <alignment horizontal="right" vertical="center"/>
    </xf>
    <xf numFmtId="10" fontId="0" fillId="8" borderId="0" xfId="1" applyNumberFormat="1" applyFont="1" applyFill="1" applyBorder="1" applyAlignment="1" applyProtection="1">
      <alignment vertical="center"/>
    </xf>
    <xf numFmtId="44" fontId="12" fillId="8" borderId="32" xfId="0" applyNumberFormat="1" applyFont="1" applyFill="1" applyBorder="1" applyAlignment="1" applyProtection="1">
      <alignment vertical="center"/>
    </xf>
    <xf numFmtId="0" fontId="0" fillId="8" borderId="0" xfId="0" applyFill="1" applyBorder="1" applyAlignment="1" applyProtection="1">
      <alignment vertical="center"/>
    </xf>
    <xf numFmtId="10" fontId="12" fillId="8" borderId="0" xfId="0" applyNumberFormat="1" applyFont="1" applyFill="1" applyBorder="1" applyAlignment="1" applyProtection="1">
      <alignment horizontal="left" vertical="center"/>
    </xf>
    <xf numFmtId="10" fontId="12" fillId="8" borderId="0" xfId="0" applyNumberFormat="1" applyFont="1" applyFill="1" applyBorder="1" applyAlignment="1" applyProtection="1">
      <alignment horizontal="right" vertical="center"/>
    </xf>
    <xf numFmtId="0" fontId="12" fillId="8" borderId="14" xfId="0" applyFont="1" applyFill="1" applyBorder="1" applyAlignment="1" applyProtection="1">
      <alignment horizontal="center" vertical="center"/>
    </xf>
    <xf numFmtId="10" fontId="12" fillId="8" borderId="27" xfId="0" applyNumberFormat="1" applyFont="1" applyFill="1" applyBorder="1" applyAlignment="1" applyProtection="1">
      <alignment horizontal="left" vertical="center"/>
    </xf>
    <xf numFmtId="10" fontId="0" fillId="8" borderId="27" xfId="1" applyNumberFormat="1" applyFont="1" applyFill="1" applyBorder="1" applyAlignment="1" applyProtection="1">
      <alignment vertical="center"/>
    </xf>
    <xf numFmtId="10" fontId="12" fillId="8" borderId="27" xfId="0" applyNumberFormat="1" applyFont="1" applyFill="1" applyBorder="1" applyAlignment="1" applyProtection="1">
      <alignment horizontal="right" vertical="center"/>
    </xf>
    <xf numFmtId="0" fontId="0" fillId="8" borderId="27" xfId="0" applyFill="1" applyBorder="1" applyAlignment="1" applyProtection="1">
      <alignment vertical="center"/>
    </xf>
    <xf numFmtId="44" fontId="12" fillId="8" borderId="16" xfId="0" applyNumberFormat="1" applyFont="1" applyFill="1" applyBorder="1" applyAlignment="1" applyProtection="1">
      <alignment vertical="center"/>
    </xf>
    <xf numFmtId="0" fontId="0" fillId="8" borderId="27" xfId="0" applyFill="1" applyBorder="1" applyAlignment="1" applyProtection="1">
      <alignment vertical="center"/>
      <protection hidden="1"/>
    </xf>
    <xf numFmtId="0" fontId="10" fillId="8" borderId="27" xfId="0" applyFont="1" applyFill="1" applyBorder="1" applyAlignment="1" applyProtection="1">
      <alignment horizontal="left" vertical="center"/>
      <protection hidden="1"/>
    </xf>
    <xf numFmtId="10" fontId="12" fillId="8" borderId="27" xfId="0" applyNumberFormat="1" applyFont="1" applyFill="1" applyBorder="1" applyAlignment="1" applyProtection="1">
      <alignment horizontal="right" vertical="center"/>
      <protection hidden="1"/>
    </xf>
    <xf numFmtId="44" fontId="12" fillId="8" borderId="27" xfId="2" applyFont="1" applyFill="1" applyBorder="1" applyAlignment="1" applyProtection="1">
      <alignment vertical="center"/>
    </xf>
    <xf numFmtId="0" fontId="8" fillId="9" borderId="14" xfId="0" applyFont="1" applyFill="1" applyBorder="1" applyAlignment="1" applyProtection="1">
      <alignment horizontal="center" vertical="center"/>
    </xf>
    <xf numFmtId="4" fontId="8" fillId="9" borderId="30" xfId="0" applyNumberFormat="1" applyFont="1" applyFill="1" applyBorder="1" applyAlignment="1" applyProtection="1">
      <alignment vertical="center"/>
      <protection locked="0"/>
    </xf>
    <xf numFmtId="182" fontId="8" fillId="8" borderId="9" xfId="2" applyNumberFormat="1" applyFont="1" applyFill="1" applyBorder="1" applyAlignment="1" applyProtection="1">
      <alignment vertical="center"/>
      <protection hidden="1"/>
    </xf>
    <xf numFmtId="0" fontId="8" fillId="8" borderId="12" xfId="0" applyFont="1" applyFill="1" applyBorder="1" applyAlignment="1" applyProtection="1">
      <alignment horizontal="left" vertical="center"/>
    </xf>
    <xf numFmtId="4" fontId="8" fillId="8" borderId="9" xfId="0" applyNumberFormat="1" applyFont="1" applyFill="1" applyBorder="1" applyAlignment="1" applyProtection="1">
      <alignment horizontal="center" vertical="center"/>
    </xf>
    <xf numFmtId="0" fontId="0" fillId="8" borderId="0" xfId="0" applyFill="1" applyAlignment="1" applyProtection="1">
      <alignment vertical="center"/>
      <protection hidden="1"/>
    </xf>
    <xf numFmtId="0" fontId="10" fillId="8" borderId="0" xfId="0" applyFont="1" applyFill="1" applyBorder="1" applyAlignment="1" applyProtection="1">
      <alignment horizontal="left" vertical="center"/>
      <protection hidden="1"/>
    </xf>
    <xf numFmtId="10" fontId="12" fillId="8" borderId="0" xfId="0" applyNumberFormat="1" applyFont="1" applyFill="1" applyBorder="1" applyAlignment="1" applyProtection="1">
      <alignment horizontal="right" vertical="center"/>
      <protection hidden="1"/>
    </xf>
    <xf numFmtId="0" fontId="0" fillId="8" borderId="0" xfId="0" applyFill="1" applyBorder="1" applyAlignment="1" applyProtection="1">
      <alignment vertical="center"/>
      <protection hidden="1"/>
    </xf>
    <xf numFmtId="44" fontId="12" fillId="8" borderId="0" xfId="2" applyFont="1" applyFill="1" applyAlignment="1" applyProtection="1">
      <alignment vertical="center"/>
    </xf>
    <xf numFmtId="4" fontId="8" fillId="9" borderId="9" xfId="0" applyNumberFormat="1" applyFont="1" applyFill="1" applyBorder="1" applyAlignment="1" applyProtection="1">
      <alignment vertical="center"/>
      <protection locked="0"/>
    </xf>
    <xf numFmtId="2" fontId="8" fillId="9" borderId="9" xfId="0" applyNumberFormat="1" applyFont="1" applyFill="1" applyBorder="1" applyAlignment="1" applyProtection="1">
      <alignment vertical="center"/>
      <protection locked="0"/>
    </xf>
    <xf numFmtId="4" fontId="8" fillId="9" borderId="9" xfId="0" applyNumberFormat="1" applyFont="1" applyFill="1" applyBorder="1" applyAlignment="1" applyProtection="1">
      <alignment horizontal="right" vertical="center"/>
      <protection locked="0"/>
    </xf>
    <xf numFmtId="2" fontId="8" fillId="9" borderId="9" xfId="0" applyNumberFormat="1" applyFont="1" applyFill="1" applyBorder="1" applyAlignment="1" applyProtection="1">
      <alignment horizontal="right" vertical="center"/>
      <protection locked="0"/>
    </xf>
    <xf numFmtId="44" fontId="11" fillId="0" borderId="0" xfId="2" applyFont="1" applyBorder="1" applyAlignment="1">
      <alignment horizontal="center" vertical="center"/>
    </xf>
    <xf numFmtId="0" fontId="11" fillId="0" borderId="0" xfId="0" applyFont="1" applyBorder="1" applyAlignment="1">
      <alignment horizontal="center" vertical="center"/>
    </xf>
    <xf numFmtId="2" fontId="9" fillId="0" borderId="0" xfId="19" applyNumberFormat="1" applyFont="1" applyFill="1" applyBorder="1" applyAlignment="1">
      <alignment vertical="center"/>
    </xf>
    <xf numFmtId="0" fontId="8" fillId="0" borderId="0" xfId="0" applyFont="1" applyFill="1" applyAlignment="1" applyProtection="1">
      <alignment horizontal="center" vertical="center"/>
      <protection hidden="1"/>
    </xf>
    <xf numFmtId="0" fontId="46" fillId="0" borderId="0" xfId="0" applyFont="1" applyBorder="1" applyAlignment="1">
      <alignment horizontal="center" vertical="center"/>
    </xf>
    <xf numFmtId="166" fontId="8" fillId="0" borderId="0" xfId="0" applyNumberFormat="1" applyFont="1" applyFill="1" applyAlignment="1" applyProtection="1">
      <alignment vertical="center"/>
    </xf>
    <xf numFmtId="0" fontId="8" fillId="9" borderId="9" xfId="0" applyNumberFormat="1" applyFont="1" applyFill="1" applyBorder="1" applyAlignment="1" applyProtection="1">
      <alignment horizontal="center" vertical="center"/>
      <protection locked="0"/>
    </xf>
    <xf numFmtId="4" fontId="8" fillId="0" borderId="0" xfId="0" applyNumberFormat="1" applyFont="1" applyFill="1" applyBorder="1" applyAlignment="1" applyProtection="1">
      <alignment vertical="center"/>
      <protection locked="0"/>
    </xf>
    <xf numFmtId="0" fontId="8" fillId="0" borderId="15" xfId="0" applyFont="1" applyFill="1" applyBorder="1" applyAlignment="1" applyProtection="1">
      <alignment horizontal="left" vertical="center"/>
    </xf>
    <xf numFmtId="0" fontId="8" fillId="0" borderId="15" xfId="0" applyFont="1" applyFill="1" applyBorder="1" applyAlignment="1" applyProtection="1">
      <alignment horizontal="left" vertical="center" wrapText="1"/>
      <protection hidden="1"/>
    </xf>
    <xf numFmtId="4" fontId="8" fillId="0" borderId="15" xfId="0" applyNumberFormat="1" applyFont="1" applyFill="1" applyBorder="1" applyAlignment="1" applyProtection="1">
      <alignment horizontal="center" vertical="center"/>
      <protection hidden="1"/>
    </xf>
    <xf numFmtId="2" fontId="8" fillId="0" borderId="15" xfId="0" applyNumberFormat="1" applyFont="1" applyFill="1" applyBorder="1" applyAlignment="1" applyProtection="1">
      <alignment horizontal="right" vertical="center" indent="1"/>
      <protection hidden="1"/>
    </xf>
    <xf numFmtId="182" fontId="8" fillId="0" borderId="15" xfId="2" applyNumberFormat="1" applyFont="1" applyFill="1" applyBorder="1" applyAlignment="1" applyProtection="1">
      <alignment vertical="center"/>
      <protection hidden="1"/>
    </xf>
    <xf numFmtId="182" fontId="8" fillId="0" borderId="18" xfId="2" applyNumberFormat="1" applyFont="1" applyFill="1" applyBorder="1" applyAlignment="1" applyProtection="1">
      <alignment vertical="center"/>
      <protection hidden="1"/>
    </xf>
    <xf numFmtId="182" fontId="8" fillId="5" borderId="12" xfId="2" applyNumberFormat="1" applyFont="1" applyFill="1" applyBorder="1" applyAlignment="1" applyProtection="1">
      <alignment vertical="center"/>
      <protection hidden="1"/>
    </xf>
    <xf numFmtId="2" fontId="8" fillId="0" borderId="0" xfId="0" applyNumberFormat="1" applyFont="1" applyFill="1" applyBorder="1" applyAlignment="1" applyProtection="1">
      <alignment vertical="center"/>
      <protection locked="0"/>
    </xf>
    <xf numFmtId="4" fontId="8" fillId="0" borderId="0" xfId="0" applyNumberFormat="1" applyFont="1" applyFill="1" applyBorder="1" applyAlignment="1" applyProtection="1">
      <alignment horizontal="right" vertical="center"/>
      <protection locked="0"/>
    </xf>
    <xf numFmtId="2" fontId="8" fillId="0" borderId="0" xfId="0" applyNumberFormat="1" applyFont="1" applyFill="1" applyBorder="1" applyAlignment="1" applyProtection="1">
      <alignment horizontal="right" vertical="center"/>
      <protection locked="0"/>
    </xf>
    <xf numFmtId="182" fontId="8" fillId="5" borderId="14" xfId="2" applyNumberFormat="1" applyFont="1" applyFill="1" applyBorder="1" applyAlignment="1" applyProtection="1">
      <alignment vertical="center"/>
      <protection hidden="1"/>
    </xf>
    <xf numFmtId="0" fontId="8" fillId="0" borderId="0" xfId="0" applyFont="1" applyFill="1" applyBorder="1" applyAlignment="1" applyProtection="1">
      <alignment horizontal="center" vertical="center"/>
    </xf>
    <xf numFmtId="0" fontId="48" fillId="0" borderId="0" xfId="0" applyFont="1" applyFill="1" applyAlignment="1" applyProtection="1">
      <alignment vertical="center"/>
      <protection hidden="1"/>
    </xf>
    <xf numFmtId="0" fontId="8" fillId="4" borderId="0" xfId="0" applyFont="1" applyFill="1" applyAlignment="1" applyProtection="1">
      <alignment vertical="center"/>
    </xf>
    <xf numFmtId="49" fontId="8" fillId="4" borderId="0" xfId="0" applyNumberFormat="1" applyFont="1" applyFill="1" applyAlignment="1" applyProtection="1">
      <alignment horizontal="center" vertical="center"/>
    </xf>
    <xf numFmtId="0" fontId="8" fillId="5" borderId="18" xfId="0" applyNumberFormat="1" applyFont="1" applyFill="1" applyBorder="1" applyAlignment="1" applyProtection="1">
      <alignment horizontal="center" vertical="center"/>
    </xf>
    <xf numFmtId="44" fontId="12" fillId="0" borderId="0" xfId="2" applyFont="1" applyFill="1" applyBorder="1" applyAlignment="1" applyProtection="1">
      <alignment vertical="center"/>
      <protection hidden="1"/>
    </xf>
    <xf numFmtId="0" fontId="12" fillId="0" borderId="9" xfId="0" applyFont="1" applyFill="1" applyBorder="1" applyAlignment="1" applyProtection="1">
      <alignment horizontal="center" vertical="center" wrapText="1"/>
      <protection hidden="1"/>
    </xf>
    <xf numFmtId="0" fontId="8" fillId="5" borderId="9" xfId="0" applyNumberFormat="1" applyFont="1" applyFill="1" applyBorder="1" applyAlignment="1" applyProtection="1">
      <alignment horizontal="center" vertical="center"/>
      <protection locked="0"/>
    </xf>
    <xf numFmtId="4" fontId="8" fillId="5" borderId="9" xfId="0" applyNumberFormat="1" applyFont="1" applyFill="1" applyBorder="1" applyAlignment="1" applyProtection="1">
      <alignment vertical="center"/>
      <protection locked="0"/>
    </xf>
    <xf numFmtId="198" fontId="15" fillId="0" borderId="9" xfId="1" applyNumberFormat="1" applyFont="1" applyFill="1" applyBorder="1" applyAlignment="1" applyProtection="1">
      <alignment vertical="center"/>
      <protection hidden="1"/>
    </xf>
    <xf numFmtId="44" fontId="43" fillId="0" borderId="0" xfId="2" applyFont="1" applyFill="1" applyBorder="1" applyAlignment="1" applyProtection="1">
      <alignment vertical="center"/>
      <protection hidden="1"/>
    </xf>
    <xf numFmtId="0" fontId="14" fillId="0" borderId="0" xfId="0" applyFont="1" applyFill="1" applyBorder="1" applyAlignment="1" applyProtection="1">
      <alignment vertical="center"/>
      <protection locked="0"/>
    </xf>
    <xf numFmtId="10" fontId="8" fillId="0" borderId="50" xfId="15" applyNumberFormat="1" applyFont="1" applyFill="1" applyBorder="1" applyAlignment="1" applyProtection="1">
      <alignment vertical="center"/>
      <protection locked="0"/>
    </xf>
    <xf numFmtId="10" fontId="8" fillId="0" borderId="51" xfId="15" applyNumberFormat="1" applyFont="1" applyFill="1" applyBorder="1" applyAlignment="1" applyProtection="1">
      <alignment vertical="center"/>
      <protection locked="0"/>
    </xf>
    <xf numFmtId="10" fontId="8" fillId="0" borderId="51" xfId="6" applyNumberFormat="1" applyFont="1" applyFill="1" applyBorder="1" applyAlignment="1" applyProtection="1">
      <alignment vertical="center"/>
      <protection locked="0"/>
    </xf>
    <xf numFmtId="10" fontId="8" fillId="0" borderId="54" xfId="6" applyNumberFormat="1" applyFont="1" applyFill="1" applyBorder="1" applyAlignment="1" applyProtection="1">
      <alignment vertical="center"/>
      <protection hidden="1"/>
    </xf>
    <xf numFmtId="0" fontId="44" fillId="0" borderId="0" xfId="0" applyFont="1"/>
    <xf numFmtId="0" fontId="49" fillId="0" borderId="0" xfId="0" applyFont="1" applyFill="1" applyAlignment="1" applyProtection="1">
      <alignment vertical="center"/>
      <protection hidden="1"/>
    </xf>
    <xf numFmtId="0" fontId="50" fillId="0" borderId="0" xfId="3" applyFont="1"/>
    <xf numFmtId="0" fontId="51" fillId="0" borderId="0" xfId="3" applyFont="1"/>
    <xf numFmtId="181" fontId="14" fillId="0" borderId="0" xfId="0" applyNumberFormat="1" applyFont="1" applyFill="1" applyBorder="1" applyAlignment="1" applyProtection="1">
      <alignment vertical="center"/>
    </xf>
    <xf numFmtId="0" fontId="33" fillId="0" borderId="18" xfId="0" applyFont="1" applyFill="1" applyBorder="1" applyAlignment="1" applyProtection="1">
      <alignment horizontal="centerContinuous" vertical="center"/>
      <protection hidden="1"/>
    </xf>
    <xf numFmtId="0" fontId="16" fillId="0" borderId="2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0" fontId="47" fillId="0" borderId="0" xfId="0" applyFont="1" applyFill="1" applyAlignment="1" applyProtection="1">
      <alignment horizontal="center" vertical="center"/>
      <protection hidden="1"/>
    </xf>
    <xf numFmtId="192" fontId="14" fillId="0" borderId="0" xfId="0" applyNumberFormat="1" applyFont="1" applyFill="1" applyAlignment="1" applyProtection="1">
      <alignment horizontal="left" vertical="center" wrapText="1"/>
      <protection hidden="1"/>
    </xf>
    <xf numFmtId="0" fontId="12" fillId="0" borderId="9"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protection hidden="1"/>
    </xf>
    <xf numFmtId="188" fontId="12" fillId="0" borderId="0" xfId="6" applyNumberFormat="1" applyFont="1" applyFill="1" applyBorder="1" applyAlignment="1" applyProtection="1">
      <alignment horizontal="left" vertical="center"/>
      <protection hidden="1"/>
    </xf>
    <xf numFmtId="0" fontId="12" fillId="0" borderId="0" xfId="6" applyNumberFormat="1" applyFont="1" applyFill="1" applyBorder="1" applyAlignment="1" applyProtection="1">
      <alignment horizontal="left" vertical="center"/>
      <protection hidden="1"/>
    </xf>
    <xf numFmtId="0" fontId="12" fillId="0" borderId="12" xfId="0"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protection hidden="1"/>
    </xf>
    <xf numFmtId="0" fontId="12" fillId="0" borderId="18" xfId="0" applyFont="1" applyFill="1" applyBorder="1" applyAlignment="1" applyProtection="1">
      <alignment horizontal="center" vertical="center"/>
      <protection hidden="1"/>
    </xf>
    <xf numFmtId="189" fontId="12" fillId="0" borderId="9" xfId="6" applyNumberFormat="1"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6" applyFont="1" applyFill="1" applyBorder="1" applyAlignment="1" applyProtection="1">
      <alignment horizontal="center" vertical="center"/>
      <protection hidden="1"/>
    </xf>
    <xf numFmtId="0" fontId="12" fillId="0" borderId="9" xfId="6" applyFont="1" applyFill="1" applyBorder="1" applyAlignment="1" applyProtection="1">
      <alignment horizontal="center" vertical="center" wrapText="1"/>
      <protection hidden="1"/>
    </xf>
    <xf numFmtId="0" fontId="12" fillId="0" borderId="12" xfId="6" applyFont="1" applyFill="1" applyBorder="1" applyAlignment="1" applyProtection="1">
      <alignment horizontal="center" vertical="center"/>
      <protection hidden="1"/>
    </xf>
    <xf numFmtId="0" fontId="12" fillId="0" borderId="15" xfId="6" applyFont="1" applyFill="1" applyBorder="1" applyAlignment="1" applyProtection="1">
      <alignment horizontal="center" vertical="center"/>
      <protection hidden="1"/>
    </xf>
    <xf numFmtId="181" fontId="9" fillId="0" borderId="36" xfId="0" applyNumberFormat="1" applyFont="1" applyFill="1" applyBorder="1" applyAlignment="1" applyProtection="1">
      <alignment horizontal="center" vertical="center"/>
    </xf>
    <xf numFmtId="181" fontId="9" fillId="0" borderId="33" xfId="0" applyNumberFormat="1" applyFont="1" applyFill="1" applyBorder="1" applyAlignment="1" applyProtection="1">
      <alignment horizontal="center" vertical="center"/>
    </xf>
    <xf numFmtId="0" fontId="9" fillId="0" borderId="25" xfId="0" applyFont="1" applyFill="1" applyBorder="1" applyAlignment="1" applyProtection="1">
      <alignment horizontal="center" vertical="center" wrapText="1"/>
    </xf>
    <xf numFmtId="0" fontId="9" fillId="0" borderId="18" xfId="0" applyFont="1" applyFill="1" applyBorder="1" applyAlignment="1" applyProtection="1">
      <alignment horizontal="center" vertical="center" wrapText="1"/>
    </xf>
    <xf numFmtId="0" fontId="9" fillId="0" borderId="35"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2" fontId="9" fillId="0" borderId="35" xfId="0" applyNumberFormat="1" applyFont="1" applyFill="1" applyBorder="1" applyAlignment="1" applyProtection="1">
      <alignment horizontal="center" vertical="center"/>
    </xf>
    <xf numFmtId="2" fontId="9" fillId="0" borderId="30" xfId="0" applyNumberFormat="1" applyFont="1" applyFill="1" applyBorder="1" applyAlignment="1" applyProtection="1">
      <alignment horizontal="center" vertical="center"/>
    </xf>
    <xf numFmtId="181" fontId="9" fillId="0" borderId="35" xfId="0" applyNumberFormat="1" applyFont="1" applyFill="1" applyBorder="1" applyAlignment="1" applyProtection="1">
      <alignment horizontal="center" vertical="center"/>
    </xf>
    <xf numFmtId="181" fontId="9" fillId="0" borderId="30" xfId="0" applyNumberFormat="1" applyFont="1" applyFill="1" applyBorder="1" applyAlignment="1" applyProtection="1">
      <alignment horizontal="center" vertical="center"/>
    </xf>
    <xf numFmtId="0" fontId="9" fillId="0" borderId="0" xfId="6" applyFont="1" applyBorder="1" applyAlignment="1">
      <alignment horizontal="center" vertical="center" wrapText="1"/>
    </xf>
    <xf numFmtId="0" fontId="9" fillId="2" borderId="0" xfId="6" applyFont="1" applyFill="1" applyBorder="1" applyAlignment="1">
      <alignment horizontal="center" vertical="center" wrapText="1"/>
    </xf>
    <xf numFmtId="0" fontId="12" fillId="0" borderId="12" xfId="0" applyFont="1" applyFill="1" applyBorder="1" applyAlignment="1" applyProtection="1">
      <alignment horizontal="right" vertical="center" indent="2"/>
      <protection hidden="1"/>
    </xf>
    <xf numFmtId="0" fontId="12" fillId="0" borderId="18" xfId="0" applyFont="1" applyFill="1" applyBorder="1" applyAlignment="1" applyProtection="1">
      <alignment horizontal="right" vertical="center" indent="2"/>
      <protection hidden="1"/>
    </xf>
    <xf numFmtId="0" fontId="12" fillId="0" borderId="12" xfId="0" applyFont="1" applyFill="1" applyBorder="1" applyAlignment="1" applyProtection="1">
      <alignment horizontal="left" vertical="center"/>
      <protection hidden="1"/>
    </xf>
    <xf numFmtId="0" fontId="12" fillId="0" borderId="18" xfId="0" applyFont="1" applyFill="1" applyBorder="1" applyAlignment="1" applyProtection="1">
      <alignment horizontal="left" vertical="center"/>
      <protection hidden="1"/>
    </xf>
    <xf numFmtId="0" fontId="12" fillId="0" borderId="28" xfId="0" applyFont="1" applyFill="1" applyBorder="1" applyAlignment="1" applyProtection="1">
      <alignment horizontal="center" vertical="center"/>
      <protection hidden="1"/>
    </xf>
    <xf numFmtId="0" fontId="8" fillId="0" borderId="14"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0" fontId="8" fillId="0" borderId="16" xfId="0" applyFont="1" applyFill="1" applyBorder="1" applyAlignment="1" applyProtection="1">
      <alignment horizontal="center" vertical="center"/>
      <protection hidden="1"/>
    </xf>
  </cellXfs>
  <cellStyles count="109">
    <cellStyle name="Cabecera 1" xfId="29" xr:uid="{00000000-0005-0000-0000-000000000000}"/>
    <cellStyle name="Cabecera 2" xfId="30" xr:uid="{00000000-0005-0000-0000-000001000000}"/>
    <cellStyle name="Dia" xfId="7" xr:uid="{00000000-0005-0000-0000-000002000000}"/>
    <cellStyle name="Encabez1" xfId="8" xr:uid="{00000000-0005-0000-0000-000003000000}"/>
    <cellStyle name="Encabez2" xfId="9" xr:uid="{00000000-0005-0000-0000-000004000000}"/>
    <cellStyle name="Encabezado 1" xfId="31" xr:uid="{00000000-0005-0000-0000-000005000000}"/>
    <cellStyle name="Encabezado 2" xfId="32" xr:uid="{00000000-0005-0000-0000-000006000000}"/>
    <cellStyle name="Euro" xfId="10" xr:uid="{00000000-0005-0000-0000-000007000000}"/>
    <cellStyle name="Euro 2" xfId="33" xr:uid="{00000000-0005-0000-0000-000008000000}"/>
    <cellStyle name="F2" xfId="34" xr:uid="{00000000-0005-0000-0000-000009000000}"/>
    <cellStyle name="F3" xfId="35" xr:uid="{00000000-0005-0000-0000-00000A000000}"/>
    <cellStyle name="F4" xfId="36" xr:uid="{00000000-0005-0000-0000-00000B000000}"/>
    <cellStyle name="F5" xfId="37" xr:uid="{00000000-0005-0000-0000-00000C000000}"/>
    <cellStyle name="F6" xfId="38" xr:uid="{00000000-0005-0000-0000-00000D000000}"/>
    <cellStyle name="F7" xfId="39" xr:uid="{00000000-0005-0000-0000-00000E000000}"/>
    <cellStyle name="F8" xfId="40" xr:uid="{00000000-0005-0000-0000-00000F000000}"/>
    <cellStyle name="Fecha" xfId="41" xr:uid="{00000000-0005-0000-0000-000010000000}"/>
    <cellStyle name="Fijo" xfId="11" xr:uid="{00000000-0005-0000-0000-000011000000}"/>
    <cellStyle name="Fijo 2" xfId="42" xr:uid="{00000000-0005-0000-0000-000012000000}"/>
    <cellStyle name="Financiero" xfId="12" xr:uid="{00000000-0005-0000-0000-000013000000}"/>
    <cellStyle name="Millares" xfId="81" builtinId="3"/>
    <cellStyle name="Millares 2" xfId="20" xr:uid="{00000000-0005-0000-0000-000015000000}"/>
    <cellStyle name="Millares 2 2" xfId="21" xr:uid="{00000000-0005-0000-0000-000016000000}"/>
    <cellStyle name="Millares 2 2 2" xfId="43" xr:uid="{00000000-0005-0000-0000-000017000000}"/>
    <cellStyle name="Millares 2 3" xfId="44" xr:uid="{00000000-0005-0000-0000-000018000000}"/>
    <cellStyle name="Millares 2 4" xfId="45" xr:uid="{00000000-0005-0000-0000-000019000000}"/>
    <cellStyle name="Millares 3" xfId="22" xr:uid="{00000000-0005-0000-0000-00001A000000}"/>
    <cellStyle name="Millares 3 2" xfId="46" xr:uid="{00000000-0005-0000-0000-00001B000000}"/>
    <cellStyle name="Millares 3 2 2" xfId="93" xr:uid="{00000000-0005-0000-0000-00001C000000}"/>
    <cellStyle name="Millares 3 3" xfId="87" xr:uid="{00000000-0005-0000-0000-00001D000000}"/>
    <cellStyle name="Millares 4" xfId="23" xr:uid="{00000000-0005-0000-0000-00001E000000}"/>
    <cellStyle name="Millares 4 2" xfId="88" xr:uid="{00000000-0005-0000-0000-00001F000000}"/>
    <cellStyle name="Millares 5" xfId="24" xr:uid="{00000000-0005-0000-0000-000020000000}"/>
    <cellStyle name="Millares 5 2" xfId="89" xr:uid="{00000000-0005-0000-0000-000021000000}"/>
    <cellStyle name="Millares 6" xfId="28" xr:uid="{00000000-0005-0000-0000-000022000000}"/>
    <cellStyle name="Moneda" xfId="2" builtinId="4"/>
    <cellStyle name="Moneda 2" xfId="27" xr:uid="{00000000-0005-0000-0000-000024000000}"/>
    <cellStyle name="Moneda 2 2" xfId="47" xr:uid="{00000000-0005-0000-0000-000025000000}"/>
    <cellStyle name="Moneda 2 3" xfId="92" xr:uid="{00000000-0005-0000-0000-000026000000}"/>
    <cellStyle name="Moneda 3" xfId="48" xr:uid="{00000000-0005-0000-0000-000027000000}"/>
    <cellStyle name="Moneda 3 2" xfId="49" xr:uid="{00000000-0005-0000-0000-000028000000}"/>
    <cellStyle name="Moneda 3 2 2" xfId="94" xr:uid="{00000000-0005-0000-0000-000029000000}"/>
    <cellStyle name="Moneda 4" xfId="50" xr:uid="{00000000-0005-0000-0000-00002A000000}"/>
    <cellStyle name="Moneda 5" xfId="51" xr:uid="{00000000-0005-0000-0000-00002B000000}"/>
    <cellStyle name="Moneda 6" xfId="52" xr:uid="{00000000-0005-0000-0000-00002C000000}"/>
    <cellStyle name="Moneda 6 2" xfId="95" xr:uid="{00000000-0005-0000-0000-00002D000000}"/>
    <cellStyle name="Moneda0" xfId="53" xr:uid="{00000000-0005-0000-0000-00002E000000}"/>
    <cellStyle name="Moneda0 2" xfId="96" xr:uid="{00000000-0005-0000-0000-00002F000000}"/>
    <cellStyle name="Monetario" xfId="13" xr:uid="{00000000-0005-0000-0000-000030000000}"/>
    <cellStyle name="Monetario 2" xfId="54" xr:uid="{00000000-0005-0000-0000-000031000000}"/>
    <cellStyle name="Monetario0" xfId="55" xr:uid="{00000000-0005-0000-0000-000032000000}"/>
    <cellStyle name="No-definido" xfId="14" xr:uid="{00000000-0005-0000-0000-000033000000}"/>
    <cellStyle name="Normal" xfId="0" builtinId="0"/>
    <cellStyle name="Normal 2" xfId="3" xr:uid="{00000000-0005-0000-0000-000035000000}"/>
    <cellStyle name="Normal 2 2" xfId="19" xr:uid="{00000000-0005-0000-0000-000036000000}"/>
    <cellStyle name="Normal 2 2 2" xfId="18" xr:uid="{00000000-0005-0000-0000-000037000000}"/>
    <cellStyle name="Normal 2 2 2 2" xfId="86" xr:uid="{00000000-0005-0000-0000-000038000000}"/>
    <cellStyle name="Normal 2 3" xfId="56" xr:uid="{00000000-0005-0000-0000-000039000000}"/>
    <cellStyle name="Normal 2 4" xfId="57" xr:uid="{00000000-0005-0000-0000-00003A000000}"/>
    <cellStyle name="Normal 2 4 2" xfId="97" xr:uid="{00000000-0005-0000-0000-00003B000000}"/>
    <cellStyle name="Normal 2 5" xfId="83" xr:uid="{00000000-0005-0000-0000-00003C000000}"/>
    <cellStyle name="Normal 3" xfId="6" xr:uid="{00000000-0005-0000-0000-00003D000000}"/>
    <cellStyle name="Normal 3 2" xfId="58" xr:uid="{00000000-0005-0000-0000-00003E000000}"/>
    <cellStyle name="Normal 3 2 2" xfId="98" xr:uid="{00000000-0005-0000-0000-00003F000000}"/>
    <cellStyle name="Normal 3 3" xfId="59" xr:uid="{00000000-0005-0000-0000-000040000000}"/>
    <cellStyle name="Normal 3 4" xfId="60" xr:uid="{00000000-0005-0000-0000-000041000000}"/>
    <cellStyle name="Normal 3 5" xfId="61" xr:uid="{00000000-0005-0000-0000-000042000000}"/>
    <cellStyle name="Normal 4" xfId="25" xr:uid="{00000000-0005-0000-0000-000043000000}"/>
    <cellStyle name="Normal 4 2" xfId="62" xr:uid="{00000000-0005-0000-0000-000044000000}"/>
    <cellStyle name="Normal 4 3" xfId="63" xr:uid="{00000000-0005-0000-0000-000045000000}"/>
    <cellStyle name="Normal 4 4" xfId="90" xr:uid="{00000000-0005-0000-0000-000046000000}"/>
    <cellStyle name="Normal 5" xfId="64" xr:uid="{00000000-0005-0000-0000-000047000000}"/>
    <cellStyle name="Normal 5 2" xfId="65" xr:uid="{00000000-0005-0000-0000-000048000000}"/>
    <cellStyle name="Normal 6" xfId="26" xr:uid="{00000000-0005-0000-0000-000049000000}"/>
    <cellStyle name="Normal 6 2" xfId="66" xr:uid="{00000000-0005-0000-0000-00004A000000}"/>
    <cellStyle name="Normal 6 2 2" xfId="99" xr:uid="{00000000-0005-0000-0000-00004B000000}"/>
    <cellStyle name="Normal 6 3" xfId="91" xr:uid="{00000000-0005-0000-0000-00004C000000}"/>
    <cellStyle name="Normal 7" xfId="67" xr:uid="{00000000-0005-0000-0000-00004D000000}"/>
    <cellStyle name="Normal 7 2" xfId="100" xr:uid="{00000000-0005-0000-0000-00004E000000}"/>
    <cellStyle name="Normal 8" xfId="68" xr:uid="{00000000-0005-0000-0000-00004F000000}"/>
    <cellStyle name="Normal 9" xfId="69" xr:uid="{00000000-0005-0000-0000-000050000000}"/>
    <cellStyle name="Normal 9 2" xfId="101" xr:uid="{00000000-0005-0000-0000-000051000000}"/>
    <cellStyle name="Normal_Analisis de precios AGOSTO 2004" xfId="5" xr:uid="{00000000-0005-0000-0000-000052000000}"/>
    <cellStyle name="Normal_LICITACION ESCUELA CAUCETE" xfId="108" xr:uid="{00000000-0005-0000-0000-000053000000}"/>
    <cellStyle name="Porcentaje" xfId="1" builtinId="5"/>
    <cellStyle name="Porcentaje 2" xfId="4" xr:uid="{00000000-0005-0000-0000-000054000000}"/>
    <cellStyle name="Porcentaje 2 2" xfId="70" xr:uid="{00000000-0005-0000-0000-000055000000}"/>
    <cellStyle name="Porcentaje 2 3" xfId="84" xr:uid="{00000000-0005-0000-0000-000056000000}"/>
    <cellStyle name="Porcentaje 3" xfId="15" xr:uid="{00000000-0005-0000-0000-000057000000}"/>
    <cellStyle name="Porcentaje 3 2" xfId="71" xr:uid="{00000000-0005-0000-0000-000058000000}"/>
    <cellStyle name="Porcentaje 3 2 2" xfId="102" xr:uid="{00000000-0005-0000-0000-000059000000}"/>
    <cellStyle name="Porcentaje 3 3" xfId="85" xr:uid="{00000000-0005-0000-0000-00005A000000}"/>
    <cellStyle name="Porcentaje 4" xfId="72" xr:uid="{00000000-0005-0000-0000-00005B000000}"/>
    <cellStyle name="Porcentaje 4 2" xfId="73" xr:uid="{00000000-0005-0000-0000-00005C000000}"/>
    <cellStyle name="Porcentaje 4 3" xfId="74" xr:uid="{00000000-0005-0000-0000-00005D000000}"/>
    <cellStyle name="Porcentaje 4 3 2" xfId="104" xr:uid="{00000000-0005-0000-0000-00005E000000}"/>
    <cellStyle name="Porcentaje 4 4" xfId="103" xr:uid="{00000000-0005-0000-0000-00005F000000}"/>
    <cellStyle name="Porcentaje 5" xfId="75" xr:uid="{00000000-0005-0000-0000-000060000000}"/>
    <cellStyle name="Porcentaje 5 2" xfId="76" xr:uid="{00000000-0005-0000-0000-000061000000}"/>
    <cellStyle name="Porcentaje 5 2 2" xfId="106" xr:uid="{00000000-0005-0000-0000-000062000000}"/>
    <cellStyle name="Porcentaje 5 3" xfId="105" xr:uid="{00000000-0005-0000-0000-000063000000}"/>
    <cellStyle name="Porcentaje 6" xfId="80" xr:uid="{00000000-0005-0000-0000-000064000000}"/>
    <cellStyle name="Porcentaje 6 2" xfId="107" xr:uid="{00000000-0005-0000-0000-000065000000}"/>
    <cellStyle name="Porcentaje 7" xfId="82" xr:uid="{00000000-0005-0000-0000-000066000000}"/>
    <cellStyle name="Punto" xfId="16" xr:uid="{00000000-0005-0000-0000-000068000000}"/>
    <cellStyle name="Punto 2" xfId="77" xr:uid="{00000000-0005-0000-0000-000069000000}"/>
    <cellStyle name="Punto0" xfId="17" xr:uid="{00000000-0005-0000-0000-00006A000000}"/>
    <cellStyle name="Punto0 2" xfId="78" xr:uid="{00000000-0005-0000-0000-00006B000000}"/>
    <cellStyle name="Total 2" xfId="79" xr:uid="{00000000-0005-0000-0000-00006C000000}"/>
  </cellStyles>
  <dxfs count="16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strike val="0"/>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val="0"/>
        <i/>
        <condense val="0"/>
        <extend val="0"/>
      </font>
    </dxf>
    <dxf>
      <font>
        <b val="0"/>
        <i val="0"/>
        <condense val="0"/>
        <extend val="0"/>
      </font>
    </dxf>
    <dxf>
      <font>
        <b/>
        <i val="0"/>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condense val="0"/>
        <extend val="0"/>
      </font>
    </dxf>
    <dxf>
      <font>
        <b val="0"/>
        <i/>
        <condense val="0"/>
        <extend val="0"/>
      </font>
    </dxf>
    <dxf>
      <font>
        <b val="0"/>
        <i val="0"/>
        <condense val="0"/>
        <extend val="0"/>
      </font>
    </dxf>
    <dxf>
      <font>
        <b/>
        <i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condense val="0"/>
        <extend val="0"/>
        <color indexed="9"/>
      </font>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89593882699411E-2"/>
          <c:y val="0.16425719439965689"/>
          <c:w val="0.90980393219416023"/>
          <c:h val="0.7844693608773381"/>
        </c:manualLayout>
      </c:layout>
      <c:lineChart>
        <c:grouping val="standard"/>
        <c:varyColors val="0"/>
        <c:ser>
          <c:idx val="0"/>
          <c:order val="0"/>
          <c:tx>
            <c:strRef>
              <c:f>PTyCI!$D$93</c:f>
              <c:strCache>
                <c:ptCount val="1"/>
                <c:pt idx="0">
                  <c:v>Avance Mensual</c:v>
                </c:pt>
              </c:strCache>
            </c:strRef>
          </c:tx>
          <c:marker>
            <c:symbol val="none"/>
          </c:marker>
          <c:dLbls>
            <c:numFmt formatCode="0.00%" sourceLinked="0"/>
            <c:spPr>
              <a:noFill/>
              <a:ln>
                <a:noFill/>
              </a:ln>
              <a:effectLst/>
            </c:spPr>
            <c:txPr>
              <a:bodyPr rot="-5400000" vert="horz"/>
              <a:lstStyle/>
              <a:p>
                <a:pPr>
                  <a:defRPr lang="es-ES"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PTyCI!$E$93:$Q$93</c:f>
              <c:numCache>
                <c:formatCode>0.00%</c:formatCode>
                <c:ptCount val="13"/>
                <c:pt idx="0" formatCode="0.000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strRef>
              <c:f>PTyCI!$D$94</c:f>
              <c:strCache>
                <c:ptCount val="1"/>
                <c:pt idx="0">
                  <c:v>Avance Acumulado</c:v>
                </c:pt>
              </c:strCache>
            </c:strRef>
          </c:tx>
          <c:marker>
            <c:symbol val="none"/>
          </c:marker>
          <c:dLbls>
            <c:dLbl>
              <c:idx val="0"/>
              <c:layout>
                <c:manualLayout>
                  <c:x val="-4.7385297032589979E-3"/>
                  <c:y val="2.5327499189320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57-472D-AE84-1745CB6FAA49}"/>
                </c:ext>
              </c:extLst>
            </c:dLbl>
            <c:dLbl>
              <c:idx val="1"/>
              <c:layout>
                <c:manualLayout>
                  <c:x val="-1.6401282574476768E-2"/>
                  <c:y val="-1.9582344885021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manualLayout>
                  <c:x val="-2.3509077129365629E-2"/>
                  <c:y val="-1.2828345101202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manualLayout>
                  <c:x val="-2.943223925843878E-2"/>
                  <c:y val="-8.442499729773556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layout>
                <c:manualLayout>
                  <c:x val="-4.1545059173322255E-2"/>
                  <c:y val="-5.06549983786411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layout>
                <c:manualLayout>
                  <c:x val="-3.4437264618434292E-2"/>
                  <c:y val="-1.18194996216830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6"/>
              <c:layout>
                <c:manualLayout>
                  <c:x val="-4.0277502477700657E-2"/>
                  <c:y val="-1.6884999459547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57-472D-AE84-1745CB6FAA49}"/>
                </c:ext>
              </c:extLst>
            </c:dLbl>
            <c:dLbl>
              <c:idx val="7"/>
              <c:layout>
                <c:manualLayout>
                  <c:x val="-4.2646767329330183E-2"/>
                  <c:y val="-1.6884999459547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57-472D-AE84-1745CB6FAA49}"/>
                </c:ext>
              </c:extLst>
            </c:dLbl>
            <c:dLbl>
              <c:idx val="8"/>
              <c:layout>
                <c:manualLayout>
                  <c:x val="-3.6723605200256512E-2"/>
                  <c:y val="-3.3769998919094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57-472D-AE84-1745CB6FAA49}"/>
                </c:ext>
              </c:extLst>
            </c:dLbl>
            <c:dLbl>
              <c:idx val="9"/>
              <c:layout>
                <c:manualLayout>
                  <c:x val="-4.1462134903516704E-2"/>
                  <c:y val="-5.06549983786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57-472D-AE84-1745CB6FAA49}"/>
                </c:ext>
              </c:extLst>
            </c:dLbl>
            <c:dLbl>
              <c:idx val="10"/>
              <c:layout>
                <c:manualLayout>
                  <c:x val="-3.9092870051885976E-2"/>
                  <c:y val="-6.7539997838189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57-472D-AE84-1745CB6FAA49}"/>
                </c:ext>
              </c:extLst>
            </c:dLbl>
            <c:dLbl>
              <c:idx val="11"/>
              <c:layout>
                <c:manualLayout>
                  <c:x val="-3.1985075496997611E-2"/>
                  <c:y val="-1.0130999675728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57-472D-AE84-1745CB6FAA49}"/>
                </c:ext>
              </c:extLst>
            </c:dLbl>
            <c:dLbl>
              <c:idx val="12"/>
              <c:layout>
                <c:manualLayout>
                  <c:x val="-5.3627081886056924E-4"/>
                  <c:y val="-7.96499861265820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57-472D-AE84-1745CB6FAA49}"/>
                </c:ext>
              </c:extLst>
            </c:dLbl>
            <c:dLbl>
              <c:idx val="13"/>
              <c:layout>
                <c:manualLayout>
                  <c:x val="-3.9092870051885976E-2"/>
                  <c:y val="-1.0130999675728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57-472D-AE84-1745CB6FAA49}"/>
                </c:ext>
              </c:extLst>
            </c:dLbl>
            <c:dLbl>
              <c:idx val="14"/>
              <c:layout>
                <c:manualLayout>
                  <c:x val="-4.5016032180959599E-2"/>
                  <c:y val="-8.44263268252540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57-472D-AE84-1745CB6FAA49}"/>
                </c:ext>
              </c:extLst>
            </c:dLbl>
            <c:dLbl>
              <c:idx val="15"/>
              <c:layout>
                <c:manualLayout>
                  <c:x val="-4.8569929458403834E-2"/>
                  <c:y val="-5.06563279061578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57-472D-AE84-1745CB6FAA49}"/>
                </c:ext>
              </c:extLst>
            </c:dLbl>
            <c:dLbl>
              <c:idx val="16"/>
              <c:layout>
                <c:manualLayout>
                  <c:x val="-4.8570022736547452E-2"/>
                  <c:y val="-1.6884999459547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57-472D-AE84-1745CB6FAA49}"/>
                </c:ext>
              </c:extLst>
            </c:dLbl>
            <c:dLbl>
              <c:idx val="17"/>
              <c:layout>
                <c:manualLayout>
                  <c:x val="-4.5016125459103933E-2"/>
                  <c:y val="-1.6884999459547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57-472D-AE84-1745CB6FAA49}"/>
                </c:ext>
              </c:extLst>
            </c:dLbl>
            <c:dLbl>
              <c:idx val="18"/>
              <c:layout>
                <c:manualLayout>
                  <c:x val="-1.0560333906076514E-2"/>
                  <c:y val="2.315422001299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57-472D-AE84-1745CB6FAA49}"/>
                </c:ext>
              </c:extLst>
            </c:dLbl>
            <c:dLbl>
              <c:idx val="19"/>
              <c:layout>
                <c:manualLayout>
                  <c:x val="-4.6200664606774307E-2"/>
                  <c:y val="-3.3769998919094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57-472D-AE84-1745CB6FAA49}"/>
                </c:ext>
              </c:extLst>
            </c:dLbl>
            <c:dLbl>
              <c:idx val="20"/>
              <c:layout>
                <c:manualLayout>
                  <c:x val="-4.5016032180959599E-2"/>
                  <c:y val="-3.3769998919094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57-472D-AE84-1745CB6FAA49}"/>
                </c:ext>
              </c:extLst>
            </c:dLbl>
            <c:dLbl>
              <c:idx val="21"/>
              <c:layout>
                <c:manualLayout>
                  <c:x val="-5.09391943100334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57-472D-AE84-1745CB6FAA49}"/>
                </c:ext>
              </c:extLst>
            </c:dLbl>
            <c:dLbl>
              <c:idx val="22"/>
              <c:layout>
                <c:manualLayout>
                  <c:x val="-4.6200664606774307E-2"/>
                  <c:y val="-5.06549983786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757-472D-AE84-1745CB6FAA49}"/>
                </c:ext>
              </c:extLst>
            </c:dLbl>
            <c:dLbl>
              <c:idx val="23"/>
              <c:layout>
                <c:manualLayout>
                  <c:x val="-4.2646767329330183E-2"/>
                  <c:y val="-1.68158640286892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57-472D-AE84-1745CB6FAA4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lang="es-ES" sz="8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PTyCI!$E$94:$Q$94</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ser>
          <c:idx val="2"/>
          <c:order val="2"/>
          <c:tx>
            <c:strRef>
              <c:f>PTyCI!$D$99</c:f>
              <c:strCache>
                <c:ptCount val="1"/>
                <c:pt idx="0">
                  <c:v>Curva Máxima</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3-8757-472D-AE84-1745CB6FAA49}"/>
                </c:ext>
              </c:extLst>
            </c:dLbl>
            <c:dLbl>
              <c:idx val="1"/>
              <c:layout>
                <c:manualLayout>
                  <c:x val="-4.7385390310732814E-2"/>
                  <c:y val="-8.46124606775617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57-472D-AE84-1745CB6FAA49}"/>
                </c:ext>
              </c:extLst>
            </c:dLbl>
            <c:dLbl>
              <c:idx val="2"/>
              <c:layout>
                <c:manualLayout>
                  <c:x val="-4.383139975514487E-2"/>
                  <c:y val="-1.1832927849599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57-472D-AE84-1745CB6FAA49}"/>
                </c:ext>
              </c:extLst>
            </c:dLbl>
            <c:dLbl>
              <c:idx val="3"/>
              <c:layout>
                <c:manualLayout>
                  <c:x val="-4.9754561884219124E-2"/>
                  <c:y val="-8.45592795769036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57-472D-AE84-1745CB6FAA49}"/>
                </c:ext>
              </c:extLst>
            </c:dLbl>
            <c:dLbl>
              <c:idx val="4"/>
              <c:layout>
                <c:manualLayout>
                  <c:x val="-4.8569929458403834E-2"/>
                  <c:y val="-8.45592795769036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57-472D-AE84-1745CB6FAA49}"/>
                </c:ext>
              </c:extLst>
            </c:dLbl>
            <c:dLbl>
              <c:idx val="5"/>
              <c:layout>
                <c:manualLayout>
                  <c:x val="-4.9754561884219124E-2"/>
                  <c:y val="-1.0147086958677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57-472D-AE84-1745CB6FAA49}"/>
                </c:ext>
              </c:extLst>
            </c:dLbl>
            <c:dLbl>
              <c:idx val="6"/>
              <c:layout>
                <c:manualLayout>
                  <c:x val="-4.7385297032589903E-2"/>
                  <c:y val="-8.45592795769036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57-472D-AE84-1745CB6FAA49}"/>
                </c:ext>
              </c:extLst>
            </c:dLbl>
            <c:dLbl>
              <c:idx val="7"/>
              <c:layout>
                <c:manualLayout>
                  <c:x val="-4.9754561884219124E-2"/>
                  <c:y val="-5.0734770029632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757-472D-AE84-1745CB6FAA49}"/>
                </c:ext>
              </c:extLst>
            </c:dLbl>
            <c:dLbl>
              <c:idx val="8"/>
              <c:layout>
                <c:manualLayout>
                  <c:x val="-5.2123826735847964E-2"/>
                  <c:y val="-3.38231800197545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757-472D-AE84-1745CB6FAA49}"/>
                </c:ext>
              </c:extLst>
            </c:dLbl>
            <c:dLbl>
              <c:idx val="9"/>
              <c:layout>
                <c:manualLayout>
                  <c:x val="-5.6862449717250629E-2"/>
                  <c:y val="-1.6911590009877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757-472D-AE84-1745CB6FAA49}"/>
                </c:ext>
              </c:extLst>
            </c:dLbl>
            <c:dLbl>
              <c:idx val="10"/>
              <c:layout>
                <c:manualLayout>
                  <c:x val="-5.2123826735847964E-2"/>
                  <c:y val="-1.0147061819709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757-472D-AE84-1745CB6FAA49}"/>
                </c:ext>
              </c:extLst>
            </c:dLbl>
            <c:dLbl>
              <c:idx val="11"/>
              <c:layout>
                <c:manualLayout>
                  <c:x val="-4.738529703258991E-2"/>
                  <c:y val="-1.0147061819709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757-472D-AE84-1745CB6FAA49}"/>
                </c:ext>
              </c:extLst>
            </c:dLbl>
            <c:dLbl>
              <c:idx val="12"/>
              <c:layout>
                <c:manualLayout>
                  <c:x val="-4.2594925463503464E-2"/>
                  <c:y val="-3.2978778056081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757-472D-AE84-1745CB6FAA49}"/>
                </c:ext>
              </c:extLst>
            </c:dLbl>
            <c:dLbl>
              <c:idx val="13"/>
              <c:layout>
                <c:manualLayout>
                  <c:x val="-4.8569929458403834E-2"/>
                  <c:y val="-8.4558848497578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757-472D-AE84-1745CB6FAA49}"/>
                </c:ext>
              </c:extLst>
            </c:dLbl>
            <c:dLbl>
              <c:idx val="14"/>
              <c:layout>
                <c:manualLayout>
                  <c:x val="-4.738529703258991E-2"/>
                  <c:y val="-1.0147061819709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757-472D-AE84-1745CB6FAA49}"/>
                </c:ext>
              </c:extLst>
            </c:dLbl>
            <c:dLbl>
              <c:idx val="15"/>
              <c:layout>
                <c:manualLayout>
                  <c:x val="-4.6200664606774307E-2"/>
                  <c:y val="-1.1838238789660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757-472D-AE84-1745CB6FAA49}"/>
                </c:ext>
              </c:extLst>
            </c:dLbl>
            <c:dLbl>
              <c:idx val="16"/>
              <c:layout>
                <c:manualLayout>
                  <c:x val="-3.3169688272097438E-2"/>
                  <c:y val="-1.4600005041640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757-472D-AE84-1745CB6FAA49}"/>
                </c:ext>
              </c:extLst>
            </c:dLbl>
            <c:dLbl>
              <c:idx val="17"/>
              <c:layout>
                <c:manualLayout>
                  <c:x val="-3.6723605200256602E-2"/>
                  <c:y val="-1.8602946669466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757-472D-AE84-1745CB6FAA49}"/>
                </c:ext>
              </c:extLst>
            </c:dLbl>
            <c:dLbl>
              <c:idx val="18"/>
              <c:layout>
                <c:manualLayout>
                  <c:x val="-1.6896844312009121E-2"/>
                  <c:y val="-3.0984221476746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757-472D-AE84-1745CB6FAA49}"/>
                </c:ext>
              </c:extLst>
            </c:dLbl>
            <c:dLbl>
              <c:idx val="19"/>
              <c:layout>
                <c:manualLayout>
                  <c:x val="-3.316970792281234E-2"/>
                  <c:y val="-2.1985300609370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8757-472D-AE84-1745CB6FAA49}"/>
                </c:ext>
              </c:extLst>
            </c:dLbl>
            <c:dLbl>
              <c:idx val="20"/>
              <c:layout>
                <c:manualLayout>
                  <c:x val="-2.4877280942109292E-2"/>
                  <c:y val="-1.69117696995156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757-472D-AE84-1745CB6FAA49}"/>
                </c:ext>
              </c:extLst>
            </c:dLbl>
            <c:dLbl>
              <c:idx val="21"/>
              <c:layout>
                <c:manualLayout>
                  <c:x val="-1.8954118813035641E-2"/>
                  <c:y val="-1.8602946669466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757-472D-AE84-1745CB6FAA49}"/>
                </c:ext>
              </c:extLst>
            </c:dLbl>
            <c:dLbl>
              <c:idx val="22"/>
              <c:layout>
                <c:manualLayout>
                  <c:x val="-1.8954118813035641E-2"/>
                  <c:y val="-2.0294123639418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8757-472D-AE84-1745CB6FAA49}"/>
                </c:ext>
              </c:extLst>
            </c:dLbl>
            <c:dLbl>
              <c:idx val="23"/>
              <c:layout>
                <c:manualLayout>
                  <c:x val="-1.1846324258147575E-2"/>
                  <c:y val="-1.8602946669466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8757-472D-AE84-1745CB6FAA49}"/>
                </c:ext>
              </c:extLst>
            </c:dLbl>
            <c:dLbl>
              <c:idx val="24"/>
              <c:delete val="1"/>
              <c:extLst>
                <c:ext xmlns:c15="http://schemas.microsoft.com/office/drawing/2012/chart" uri="{CE6537A1-D6FC-4f65-9D91-7224C49458BB}"/>
                <c:ext xmlns:c16="http://schemas.microsoft.com/office/drawing/2014/chart" uri="{C3380CC4-5D6E-409C-BE32-E72D297353CC}">
                  <c16:uniqueId val="{0000002B-8757-472D-AE84-1745CB6FAA4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PTyCI!$E$99:$Q$99</c:f>
              <c:numCache>
                <c:formatCode>0.00%</c:formatCode>
                <c:ptCount val="13"/>
                <c:pt idx="0" formatCode="0.00">
                  <c:v>0</c:v>
                </c:pt>
                <c:pt idx="1">
                  <c:v>5.8299999999999998E-2</c:v>
                </c:pt>
                <c:pt idx="2">
                  <c:v>0.15</c:v>
                </c:pt>
                <c:pt idx="3">
                  <c:v>0.26</c:v>
                </c:pt>
                <c:pt idx="4">
                  <c:v>0.38</c:v>
                </c:pt>
                <c:pt idx="5">
                  <c:v>0.50509999999999999</c:v>
                </c:pt>
                <c:pt idx="6">
                  <c:v>0.63</c:v>
                </c:pt>
                <c:pt idx="7">
                  <c:v>0.74660000000000004</c:v>
                </c:pt>
                <c:pt idx="8">
                  <c:v>0.82340000000000002</c:v>
                </c:pt>
                <c:pt idx="9">
                  <c:v>0.9</c:v>
                </c:pt>
                <c:pt idx="10">
                  <c:v>0.94669999999999999</c:v>
                </c:pt>
                <c:pt idx="11">
                  <c:v>0.98329999999999995</c:v>
                </c:pt>
                <c:pt idx="12">
                  <c:v>1</c:v>
                </c:pt>
              </c:numCache>
            </c:numRef>
          </c:val>
          <c:smooth val="1"/>
          <c:extLst>
            <c:ext xmlns:c16="http://schemas.microsoft.com/office/drawing/2014/chart" uri="{C3380CC4-5D6E-409C-BE32-E72D297353CC}">
              <c16:uniqueId val="{0000002C-8757-472D-AE84-1745CB6FAA49}"/>
            </c:ext>
          </c:extLst>
        </c:ser>
        <c:ser>
          <c:idx val="3"/>
          <c:order val="3"/>
          <c:tx>
            <c:strRef>
              <c:f>PTyCI!$D$100</c:f>
              <c:strCache>
                <c:ptCount val="1"/>
                <c:pt idx="0">
                  <c:v>Curva Mínima</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D-8757-472D-AE84-1745CB6FAA49}"/>
                </c:ext>
              </c:extLst>
            </c:dLbl>
            <c:dLbl>
              <c:idx val="1"/>
              <c:layout>
                <c:manualLayout>
                  <c:x val="5.9231621290737613E-3"/>
                  <c:y val="6.7539997838189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8757-472D-AE84-1745CB6FAA49}"/>
                </c:ext>
              </c:extLst>
            </c:dLbl>
            <c:dLbl>
              <c:idx val="2"/>
              <c:layout>
                <c:manualLayout>
                  <c:x val="7.10779455488835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8757-472D-AE84-1745CB6FAA49}"/>
                </c:ext>
              </c:extLst>
            </c:dLbl>
            <c:dLbl>
              <c:idx val="3"/>
              <c:layout>
                <c:manualLayout>
                  <c:x val="8.2924269807030868E-3"/>
                  <c:y val="3.3769998919094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757-472D-AE84-1745CB6FAA49}"/>
                </c:ext>
              </c:extLst>
            </c:dLbl>
            <c:dLbl>
              <c:idx val="12"/>
              <c:layout>
                <c:manualLayout>
                  <c:x val="0"/>
                  <c:y val="3.3594136883369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757-472D-AE84-1745CB6FAA49}"/>
                </c:ext>
              </c:extLst>
            </c:dLbl>
            <c:dLbl>
              <c:idx val="18"/>
              <c:layout>
                <c:manualLayout>
                  <c:x val="0"/>
                  <c:y val="-8.84376110257606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8757-472D-AE84-1745CB6FAA49}"/>
                </c:ext>
              </c:extLst>
            </c:dLbl>
            <c:dLbl>
              <c:idx val="22"/>
              <c:layout>
                <c:manualLayout>
                  <c:x val="-1.1846324258147595E-3"/>
                  <c:y val="6.7677738327222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8757-472D-AE84-1745CB6FAA49}"/>
                </c:ext>
              </c:extLst>
            </c:dLbl>
            <c:dLbl>
              <c:idx val="23"/>
              <c:layout>
                <c:manualLayout>
                  <c:x val="1.0661691832332561E-2"/>
                  <c:y val="1.3535547665444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8757-472D-AE84-1745CB6FAA49}"/>
                </c:ext>
              </c:extLst>
            </c:dLbl>
            <c:dLbl>
              <c:idx val="24"/>
              <c:delete val="1"/>
              <c:extLst>
                <c:ext xmlns:c15="http://schemas.microsoft.com/office/drawing/2012/chart" uri="{CE6537A1-D6FC-4f65-9D91-7224C49458BB}"/>
                <c:ext xmlns:c16="http://schemas.microsoft.com/office/drawing/2014/chart" uri="{C3380CC4-5D6E-409C-BE32-E72D297353CC}">
                  <c16:uniqueId val="{00000035-8757-472D-AE84-1745CB6FAA4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PTyCI!$E$100:$Q$100</c:f>
              <c:numCache>
                <c:formatCode>0.00%</c:formatCode>
                <c:ptCount val="13"/>
                <c:pt idx="0" formatCode="0.00">
                  <c:v>0</c:v>
                </c:pt>
                <c:pt idx="1">
                  <c:v>1.2500000000000001E-2</c:v>
                </c:pt>
                <c:pt idx="2">
                  <c:v>5.5E-2</c:v>
                </c:pt>
                <c:pt idx="3">
                  <c:v>0.115</c:v>
                </c:pt>
                <c:pt idx="4">
                  <c:v>0.2</c:v>
                </c:pt>
                <c:pt idx="5">
                  <c:v>0.3</c:v>
                </c:pt>
                <c:pt idx="6">
                  <c:v>0.4</c:v>
                </c:pt>
                <c:pt idx="7">
                  <c:v>0.5</c:v>
                </c:pt>
                <c:pt idx="8">
                  <c:v>0.60670000000000002</c:v>
                </c:pt>
                <c:pt idx="9">
                  <c:v>0.72</c:v>
                </c:pt>
                <c:pt idx="10">
                  <c:v>0.83330000000000004</c:v>
                </c:pt>
                <c:pt idx="11">
                  <c:v>0.93340000000000001</c:v>
                </c:pt>
                <c:pt idx="12">
                  <c:v>1</c:v>
                </c:pt>
              </c:numCache>
            </c:numRef>
          </c:val>
          <c:smooth val="1"/>
          <c:extLst>
            <c:ext xmlns:c16="http://schemas.microsoft.com/office/drawing/2014/chart" uri="{C3380CC4-5D6E-409C-BE32-E72D297353CC}">
              <c16:uniqueId val="{00000036-8757-472D-AE84-1745CB6FAA49}"/>
            </c:ext>
          </c:extLst>
        </c:ser>
        <c:dLbls>
          <c:showLegendKey val="0"/>
          <c:showVal val="0"/>
          <c:showCatName val="0"/>
          <c:showSerName val="0"/>
          <c:showPercent val="0"/>
          <c:showBubbleSize val="0"/>
        </c:dLbls>
        <c:smooth val="0"/>
        <c:axId val="99904512"/>
        <c:axId val="99710080"/>
      </c:lineChart>
      <c:catAx>
        <c:axId val="99904512"/>
        <c:scaling>
          <c:orientation val="minMax"/>
        </c:scaling>
        <c:delete val="0"/>
        <c:axPos val="b"/>
        <c:title>
          <c:tx>
            <c:rich>
              <a:bodyPr/>
              <a:lstStyle/>
              <a:p>
                <a:pPr>
                  <a:defRPr lang="es-ES">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lang="es-ES" sz="1000" baseline="0">
                <a:latin typeface="Arial" pitchFamily="34" charset="0"/>
              </a:defRPr>
            </a:pPr>
            <a:endParaRPr lang="es-AR"/>
          </a:p>
        </c:txPr>
        <c:crossAx val="99710080"/>
        <c:crossesAt val="0"/>
        <c:auto val="1"/>
        <c:lblAlgn val="ctr"/>
        <c:lblOffset val="100"/>
        <c:noMultiLvlLbl val="0"/>
      </c:catAx>
      <c:valAx>
        <c:axId val="99710080"/>
        <c:scaling>
          <c:orientation val="minMax"/>
          <c:max val="1"/>
        </c:scaling>
        <c:delete val="0"/>
        <c:axPos val="l"/>
        <c:majorGridlines/>
        <c:title>
          <c:tx>
            <c:rich>
              <a:bodyPr rot="-5400000" vert="horz"/>
              <a:lstStyle/>
              <a:p>
                <a:pPr>
                  <a:defRPr lang="es-ES">
                    <a:latin typeface="Arial" pitchFamily="34" charset="0"/>
                    <a:cs typeface="Arial" pitchFamily="34" charset="0"/>
                  </a:defRPr>
                </a:pPr>
                <a:r>
                  <a:rPr lang="en-US">
                    <a:latin typeface="Arial" pitchFamily="34" charset="0"/>
                    <a:cs typeface="Arial" pitchFamily="34" charset="0"/>
                  </a:rPr>
                  <a:t>PORCENTAJE AVANCE (%)</a:t>
                </a:r>
              </a:p>
            </c:rich>
          </c:tx>
          <c:layout>
            <c:manualLayout>
              <c:xMode val="edge"/>
              <c:yMode val="edge"/>
              <c:x val="2.2276280466758886E-3"/>
              <c:y val="0.32481449340638846"/>
            </c:manualLayout>
          </c:layout>
          <c:overlay val="0"/>
        </c:title>
        <c:numFmt formatCode="0%" sourceLinked="0"/>
        <c:majorTickMark val="out"/>
        <c:minorTickMark val="none"/>
        <c:tickLblPos val="nextTo"/>
        <c:txPr>
          <a:bodyPr/>
          <a:lstStyle/>
          <a:p>
            <a:pPr>
              <a:defRPr lang="es-ES" baseline="0">
                <a:latin typeface="Arial" pitchFamily="34" charset="0"/>
              </a:defRPr>
            </a:pPr>
            <a:endParaRPr lang="es-AR"/>
          </a:p>
        </c:txPr>
        <c:crossAx val="99904512"/>
        <c:crosses val="autoZero"/>
        <c:crossBetween val="midCat"/>
      </c:valAx>
    </c:plotArea>
    <c:legend>
      <c:legendPos val="r"/>
      <c:layout>
        <c:manualLayout>
          <c:xMode val="edge"/>
          <c:yMode val="edge"/>
          <c:x val="0.71472703246070579"/>
          <c:y val="1.5355047108423408E-2"/>
          <c:w val="0.18167743492957075"/>
          <c:h val="0.1221964748919208"/>
        </c:manualLayout>
      </c:layout>
      <c:overlay val="0"/>
      <c:txPr>
        <a:bodyPr/>
        <a:lstStyle/>
        <a:p>
          <a:pPr>
            <a:defRPr lang="es-ES"/>
          </a:pPr>
          <a:endParaRPr lang="es-AR"/>
        </a:p>
      </c:txPr>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678740157480534E-2"/>
          <c:y val="0.17619175189308234"/>
          <c:w val="0.8750828703703909"/>
          <c:h val="0.73851531703751261"/>
        </c:manualLayout>
      </c:layout>
      <c:lineChart>
        <c:grouping val="standard"/>
        <c:varyColors val="0"/>
        <c:ser>
          <c:idx val="0"/>
          <c:order val="0"/>
          <c:tx>
            <c:strRef>
              <c:f>PTyCI!$D$96</c:f>
              <c:strCache>
                <c:ptCount val="1"/>
                <c:pt idx="0">
                  <c:v>Inversión Mensual</c:v>
                </c:pt>
              </c:strCache>
            </c:strRef>
          </c:tx>
          <c:marker>
            <c:symbol val="none"/>
          </c:marker>
          <c:dLbls>
            <c:dLbl>
              <c:idx val="1"/>
              <c:layout>
                <c:manualLayout>
                  <c:x val="-1.1728228321824441E-3"/>
                  <c:y val="3.3759312054334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BA-48EE-BC82-5F47EE2E0704}"/>
                </c:ext>
              </c:extLst>
            </c:dLbl>
            <c:dLbl>
              <c:idx val="2"/>
              <c:layout>
                <c:manualLayout>
                  <c:x val="0"/>
                  <c:y val="6.7518624108670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BA-48EE-BC82-5F47EE2E0704}"/>
                </c:ext>
              </c:extLst>
            </c:dLbl>
            <c:dLbl>
              <c:idx val="3"/>
              <c:layout>
                <c:manualLayout>
                  <c:x val="9.3825826574598856E-3"/>
                  <c:y val="3.37593120543326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BA-48EE-BC82-5F47EE2E0704}"/>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dLbl>
              <c:idx val="5"/>
              <c:layout>
                <c:manualLayout>
                  <c:x val="-9.3825826574598856E-3"/>
                  <c:y val="6.75186241086691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BA-48EE-BC82-5F47EE2E0704}"/>
                </c:ext>
              </c:extLst>
            </c:dLbl>
            <c:dLbl>
              <c:idx val="6"/>
              <c:layout>
                <c:manualLayout>
                  <c:x val="-8.2098521735316076E-3"/>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BA-48EE-BC82-5F47EE2E0704}"/>
                </c:ext>
              </c:extLst>
            </c:dLbl>
            <c:dLbl>
              <c:idx val="7"/>
              <c:layout>
                <c:manualLayout>
                  <c:x val="-2.3456456643648495E-3"/>
                  <c:y val="-6.75186241086691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BA-48EE-BC82-5F47EE2E0704}"/>
                </c:ext>
              </c:extLst>
            </c:dLbl>
            <c:dLbl>
              <c:idx val="8"/>
              <c:layout>
                <c:manualLayout>
                  <c:x val="1.1728228321824441E-3"/>
                  <c:y val="-1.6879656027166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BA-48EE-BC82-5F47EE2E0704}"/>
                </c:ext>
              </c:extLst>
            </c:dLbl>
            <c:dLbl>
              <c:idx val="9"/>
              <c:layout>
                <c:manualLayout>
                  <c:x val="-3.5184684965473296E-3"/>
                  <c:y val="1.181575921901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BA-48EE-BC82-5F47EE2E0704}"/>
                </c:ext>
              </c:extLst>
            </c:dLbl>
            <c:dLbl>
              <c:idx val="10"/>
              <c:layout>
                <c:manualLayout>
                  <c:x val="3.5184684965473296E-3"/>
                  <c:y val="1.0127793616300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BA-48EE-BC82-5F47EE2E0704}"/>
                </c:ext>
              </c:extLst>
            </c:dLbl>
            <c:dLbl>
              <c:idx val="11"/>
              <c:layout>
                <c:manualLayout>
                  <c:x val="1.1728228321824441E-3"/>
                  <c:y val="-5.0638968081500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BA-48EE-BC82-5F47EE2E0704}"/>
                </c:ext>
              </c:extLst>
            </c:dLbl>
            <c:dLbl>
              <c:idx val="12"/>
              <c:layout>
                <c:manualLayout>
                  <c:x val="1.1728228321824441E-3"/>
                  <c:y val="1.6879656027166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BA-48EE-BC82-5F47EE2E0704}"/>
                </c:ext>
              </c:extLst>
            </c:dLbl>
            <c:dLbl>
              <c:idx val="13"/>
              <c:layout>
                <c:manualLayout>
                  <c:x val="0"/>
                  <c:y val="5.0638968081500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BA-48EE-BC82-5F47EE2E0704}"/>
                </c:ext>
              </c:extLst>
            </c:dLbl>
            <c:dLbl>
              <c:idx val="14"/>
              <c:layout>
                <c:manualLayout>
                  <c:x val="2.3456456643648495E-3"/>
                  <c:y val="3.3759312054334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BA-48EE-BC82-5F47EE2E0704}"/>
                </c:ext>
              </c:extLst>
            </c:dLbl>
            <c:dLbl>
              <c:idx val="15"/>
              <c:layout>
                <c:manualLayout>
                  <c:x val="-3.5185608448018452E-3"/>
                  <c:y val="-1.18157592190173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BA-48EE-BC82-5F47EE2E0704}"/>
                </c:ext>
              </c:extLst>
            </c:dLbl>
            <c:dLbl>
              <c:idx val="16"/>
              <c:layout>
                <c:manualLayout>
                  <c:x val="1.1728228321824441E-3"/>
                  <c:y val="-5.0638968081500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BA-48EE-BC82-5F47EE2E0704}"/>
                </c:ext>
              </c:extLst>
            </c:dLbl>
            <c:dLbl>
              <c:idx val="17"/>
              <c:layout>
                <c:manualLayout>
                  <c:x val="0"/>
                  <c:y val="-3.3759312054334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BA-48EE-BC82-5F47EE2E0704}"/>
                </c:ext>
              </c:extLst>
            </c:dLbl>
            <c:dLbl>
              <c:idx val="18"/>
              <c:layout>
                <c:manualLayout>
                  <c:x val="-4.6912913287297823E-3"/>
                  <c:y val="1.1815759219017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BA-48EE-BC82-5F47EE2E0704}"/>
                </c:ext>
              </c:extLst>
            </c:dLbl>
            <c:dLbl>
              <c:idx val="19"/>
              <c:layout>
                <c:manualLayout>
                  <c:x val="-2.3456456643648495E-3"/>
                  <c:y val="2.025558723260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3BA-48EE-BC82-5F47EE2E0704}"/>
                </c:ext>
              </c:extLst>
            </c:dLbl>
            <c:dLbl>
              <c:idx val="20"/>
              <c:layout>
                <c:manualLayout>
                  <c:x val="-2.3456456643648495E-3"/>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3BA-48EE-BC82-5F47EE2E0704}"/>
                </c:ext>
              </c:extLst>
            </c:dLbl>
            <c:dLbl>
              <c:idx val="21"/>
              <c:layout>
                <c:manualLayout>
                  <c:x val="0"/>
                  <c:y val="-6.75186241086691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3BA-48EE-BC82-5F47EE2E0704}"/>
                </c:ext>
              </c:extLst>
            </c:dLbl>
            <c:dLbl>
              <c:idx val="22"/>
              <c:layout>
                <c:manualLayout>
                  <c:x val="0"/>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3BA-48EE-BC82-5F47EE2E0704}"/>
                </c:ext>
              </c:extLst>
            </c:dLbl>
            <c:dLbl>
              <c:idx val="23"/>
              <c:layout>
                <c:manualLayout>
                  <c:x val="1.1728228321824441E-3"/>
                  <c:y val="-6.75186241086691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3BA-48EE-BC82-5F47EE2E0704}"/>
                </c:ext>
              </c:extLst>
            </c:dLbl>
            <c:dLbl>
              <c:idx val="24"/>
              <c:layout>
                <c:manualLayout>
                  <c:x val="0"/>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3BA-48EE-BC82-5F47EE2E0704}"/>
                </c:ext>
              </c:extLst>
            </c:dLbl>
            <c:numFmt formatCode="&quot;$&quot;\ #,##0.00" sourceLinked="0"/>
            <c:spPr>
              <a:noFill/>
              <a:ln>
                <a:noFill/>
              </a:ln>
              <a:effectLst/>
            </c:spPr>
            <c:txPr>
              <a:bodyPr rot="0" vert="horz" anchor="ctr" anchorCtr="0"/>
              <a:lstStyle/>
              <a:p>
                <a:pPr>
                  <a:defRPr lang="es-ES"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PTyCI!$E$96:$Q$96</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strRef>
              <c:f>PTyCI!$D$97</c:f>
              <c:strCache>
                <c:ptCount val="1"/>
                <c:pt idx="0">
                  <c:v>Inversión Acumulada</c:v>
                </c:pt>
              </c:strCache>
            </c:strRef>
          </c:tx>
          <c:marker>
            <c:symbol val="none"/>
          </c:marker>
          <c:dLbls>
            <c:dLbl>
              <c:idx val="1"/>
              <c:layout>
                <c:manualLayout>
                  <c:x val="-1.9550956612481341E-2"/>
                  <c:y val="-1.7634987406713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3BA-48EE-BC82-5F47EE2E0704}"/>
                </c:ext>
              </c:extLst>
            </c:dLbl>
            <c:dLbl>
              <c:idx val="2"/>
              <c:layout>
                <c:manualLayout>
                  <c:x val="-2.3069425109028638E-2"/>
                  <c:y val="-1.7634987406713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3BA-48EE-BC82-5F47EE2E0704}"/>
                </c:ext>
              </c:extLst>
            </c:dLbl>
            <c:dLbl>
              <c:idx val="5"/>
              <c:layout>
                <c:manualLayout>
                  <c:x val="-4.3787222222222533E-2"/>
                  <c:y val="-1.763498384751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3BA-48EE-BC82-5F47EE2E0704}"/>
                </c:ext>
              </c:extLst>
            </c:dLbl>
            <c:dLbl>
              <c:idx val="6"/>
              <c:layout>
                <c:manualLayout>
                  <c:x val="-3.9099050429073877E-2"/>
                  <c:y val="-1.7634987406713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3BA-48EE-BC82-5F47EE2E0704}"/>
                </c:ext>
              </c:extLst>
            </c:dLbl>
            <c:dLbl>
              <c:idx val="7"/>
              <c:layout>
                <c:manualLayout>
                  <c:x val="-3.6753404764708189E-2"/>
                  <c:y val="-1.9322953009430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3BA-48EE-BC82-5F47EE2E0704}"/>
                </c:ext>
              </c:extLst>
            </c:dLbl>
            <c:dLbl>
              <c:idx val="11"/>
              <c:layout>
                <c:manualLayout>
                  <c:x val="-2.8153658260666799E-2"/>
                  <c:y val="-1.59470218039966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3BA-48EE-BC82-5F47EE2E0704}"/>
                </c:ext>
              </c:extLst>
            </c:dLbl>
            <c:dLbl>
              <c:idx val="12"/>
              <c:layout>
                <c:manualLayout>
                  <c:x val="-3.28449495893973E-2"/>
                  <c:y val="-2.269888421486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3BA-48EE-BC82-5F47EE2E0704}"/>
                </c:ext>
              </c:extLst>
            </c:dLbl>
            <c:dLbl>
              <c:idx val="13"/>
              <c:layout>
                <c:manualLayout>
                  <c:x val="-3.5190595253761461E-2"/>
                  <c:y val="-1.9322953009430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3BA-48EE-BC82-5F47EE2E0704}"/>
                </c:ext>
              </c:extLst>
            </c:dLbl>
            <c:dLbl>
              <c:idx val="14"/>
              <c:layout>
                <c:manualLayout>
                  <c:x val="-3.8709063750308789E-2"/>
                  <c:y val="-2.43868498175800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3BA-48EE-BC82-5F47EE2E0704}"/>
                </c:ext>
              </c:extLst>
            </c:dLbl>
            <c:dLbl>
              <c:idx val="15"/>
              <c:layout>
                <c:manualLayout>
                  <c:x val="-4.3400355079038479E-2"/>
                  <c:y val="-1.9322953009430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3BA-48EE-BC82-5F47EE2E0704}"/>
                </c:ext>
              </c:extLst>
            </c:dLbl>
            <c:dLbl>
              <c:idx val="16"/>
              <c:layout>
                <c:manualLayout>
                  <c:x val="-4.1054709414673762E-2"/>
                  <c:y val="-1.9322953009430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3BA-48EE-BC82-5F47EE2E0704}"/>
                </c:ext>
              </c:extLst>
            </c:dLbl>
            <c:dLbl>
              <c:idx val="17"/>
              <c:layout>
                <c:manualLayout>
                  <c:x val="-4.4573177911221999E-2"/>
                  <c:y val="-1.9322953009430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3BA-48EE-BC82-5F47EE2E0704}"/>
                </c:ext>
              </c:extLst>
            </c:dLbl>
            <c:dLbl>
              <c:idx val="18"/>
              <c:layout>
                <c:manualLayout>
                  <c:x val="-4.1054709414673679E-2"/>
                  <c:y val="-1.7634987406713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73BA-48EE-BC82-5F47EE2E0704}"/>
                </c:ext>
              </c:extLst>
            </c:dLbl>
            <c:numFmt formatCode="&quot;$&quot;\ #,##0.00" sourceLinked="0"/>
            <c:spPr>
              <a:noFill/>
              <a:ln>
                <a:noFill/>
              </a:ln>
              <a:effectLst/>
            </c:spPr>
            <c:txPr>
              <a:bodyPr rot="0" vert="horz" anchor="ctr" anchorCtr="1"/>
              <a:lstStyle/>
              <a:p>
                <a:pPr>
                  <a:defRPr lang="es-ES"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PTyCI!$E$97:$Q$97</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1946112"/>
        <c:axId val="101948032"/>
      </c:lineChart>
      <c:catAx>
        <c:axId val="101946112"/>
        <c:scaling>
          <c:orientation val="minMax"/>
        </c:scaling>
        <c:delete val="0"/>
        <c:axPos val="b"/>
        <c:title>
          <c:tx>
            <c:rich>
              <a:bodyPr/>
              <a:lstStyle/>
              <a:p>
                <a:pPr>
                  <a:defRPr lang="es-ES"/>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lang="es-ES" sz="1000" baseline="0">
                <a:latin typeface="Arial" pitchFamily="34" charset="0"/>
              </a:defRPr>
            </a:pPr>
            <a:endParaRPr lang="es-AR"/>
          </a:p>
        </c:txPr>
        <c:crossAx val="101948032"/>
        <c:crosses val="autoZero"/>
        <c:auto val="1"/>
        <c:lblAlgn val="ctr"/>
        <c:lblOffset val="100"/>
        <c:noMultiLvlLbl val="0"/>
      </c:catAx>
      <c:valAx>
        <c:axId val="101948032"/>
        <c:scaling>
          <c:orientation val="minMax"/>
        </c:scaling>
        <c:delete val="0"/>
        <c:axPos val="l"/>
        <c:majorGridlines/>
        <c:title>
          <c:tx>
            <c:rich>
              <a:bodyPr rot="-5400000" vert="horz"/>
              <a:lstStyle/>
              <a:p>
                <a:pPr>
                  <a:defRPr lang="es-ES"/>
                </a:pPr>
                <a:r>
                  <a:rPr lang="en-US"/>
                  <a:t>MILLES DE PESOS</a:t>
                </a:r>
              </a:p>
            </c:rich>
          </c:tx>
          <c:layout>
            <c:manualLayout>
              <c:xMode val="edge"/>
              <c:yMode val="edge"/>
              <c:x val="1.2165740740740737E-2"/>
              <c:y val="0.48667319444445445"/>
            </c:manualLayout>
          </c:layout>
          <c:overlay val="0"/>
        </c:title>
        <c:numFmt formatCode="&quot;$&quot;\ #,##0" sourceLinked="0"/>
        <c:majorTickMark val="out"/>
        <c:minorTickMark val="none"/>
        <c:tickLblPos val="nextTo"/>
        <c:txPr>
          <a:bodyPr/>
          <a:lstStyle/>
          <a:p>
            <a:pPr>
              <a:defRPr lang="es-ES"/>
            </a:pPr>
            <a:endParaRPr lang="es-AR"/>
          </a:p>
        </c:txPr>
        <c:crossAx val="10194611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932E-2"/>
        </c:manualLayout>
      </c:layout>
      <c:overlay val="0"/>
      <c:txPr>
        <a:bodyPr/>
        <a:lstStyle/>
        <a:p>
          <a:pPr>
            <a:defRPr lang="es-ES"/>
          </a:pPr>
          <a:endParaRPr lang="es-AR"/>
        </a:p>
      </c:txPr>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49743</xdr:colOff>
      <xdr:row>0</xdr:row>
      <xdr:rowOff>28576</xdr:rowOff>
    </xdr:from>
    <xdr:to>
      <xdr:col>14</xdr:col>
      <xdr:colOff>539461</xdr:colOff>
      <xdr:row>35</xdr:row>
      <xdr:rowOff>124777</xdr:rowOff>
    </xdr:to>
    <xdr:graphicFrame macro="">
      <xdr:nvGraphicFramePr>
        <xdr:cNvPr id="12" name="1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0.77709</cdr:x>
      <cdr:y>0.43502</cdr:y>
    </cdr:from>
    <cdr:to>
      <cdr:x>0.86949</cdr:x>
      <cdr:y>0.47162</cdr:y>
    </cdr:to>
    <cdr:sp macro="" textlink="">
      <cdr:nvSpPr>
        <cdr:cNvPr id="2" name="1 CuadroTexto"/>
        <cdr:cNvSpPr txBox="1"/>
      </cdr:nvSpPr>
      <cdr:spPr>
        <a:xfrm xmlns:a="http://schemas.openxmlformats.org/drawingml/2006/main">
          <a:off x="8030428" y="3126043"/>
          <a:ext cx="954821" cy="26300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Curva Mínima</a:t>
          </a:r>
        </a:p>
      </cdr:txBody>
    </cdr:sp>
  </cdr:relSizeAnchor>
  <cdr:relSizeAnchor xmlns:cdr="http://schemas.openxmlformats.org/drawingml/2006/chartDrawing">
    <cdr:from>
      <cdr:x>0.70412</cdr:x>
      <cdr:y>0.42269</cdr:y>
    </cdr:from>
    <cdr:to>
      <cdr:x>0.77709</cdr:x>
      <cdr:y>0.45332</cdr:y>
    </cdr:to>
    <cdr:sp macro="" textlink="">
      <cdr:nvSpPr>
        <cdr:cNvPr id="4" name="3 Conector recto de flecha"/>
        <cdr:cNvSpPr/>
      </cdr:nvSpPr>
      <cdr:spPr>
        <a:xfrm xmlns:a="http://schemas.openxmlformats.org/drawingml/2006/main">
          <a:off x="7422987" y="3033345"/>
          <a:ext cx="769296" cy="219773"/>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0.49811</cdr:x>
      <cdr:y>0.27897</cdr:y>
    </cdr:from>
    <cdr:to>
      <cdr:x>0.5909</cdr:x>
      <cdr:y>0.31277</cdr:y>
    </cdr:to>
    <cdr:sp macro="" textlink="">
      <cdr:nvSpPr>
        <cdr:cNvPr id="5" name="1 CuadroTexto"/>
        <cdr:cNvSpPr txBox="1"/>
      </cdr:nvSpPr>
      <cdr:spPr>
        <a:xfrm xmlns:a="http://schemas.openxmlformats.org/drawingml/2006/main">
          <a:off x="5140764" y="2003088"/>
          <a:ext cx="957640" cy="242691"/>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Máxima</a:t>
          </a:r>
        </a:p>
      </cdr:txBody>
    </cdr:sp>
  </cdr:relSizeAnchor>
  <cdr:relSizeAnchor xmlns:cdr="http://schemas.openxmlformats.org/drawingml/2006/chartDrawing">
    <cdr:from>
      <cdr:x>0.59229</cdr:x>
      <cdr:y>0.3026</cdr:y>
    </cdr:from>
    <cdr:to>
      <cdr:x>0.60821</cdr:x>
      <cdr:y>0.34101</cdr:y>
    </cdr:to>
    <cdr:sp macro="" textlink="">
      <cdr:nvSpPr>
        <cdr:cNvPr id="6" name="2 Conector recto de flecha"/>
        <cdr:cNvSpPr/>
      </cdr:nvSpPr>
      <cdr:spPr>
        <a:xfrm xmlns:a="http://schemas.openxmlformats.org/drawingml/2006/main" flipH="1" flipV="1">
          <a:off x="6244073" y="2171519"/>
          <a:ext cx="167797" cy="275671"/>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dr:relSizeAnchor xmlns:cdr="http://schemas.openxmlformats.org/drawingml/2006/chartDrawing">
    <cdr:from>
      <cdr:x>0.6889</cdr:x>
      <cdr:y>0.57299</cdr:y>
    </cdr:from>
    <cdr:to>
      <cdr:x>0.78983</cdr:x>
      <cdr:y>0.60959</cdr:y>
    </cdr:to>
    <cdr:sp macro="" textlink="">
      <cdr:nvSpPr>
        <cdr:cNvPr id="7" name="6 CuadroTexto"/>
        <cdr:cNvSpPr txBox="1"/>
      </cdr:nvSpPr>
      <cdr:spPr>
        <a:xfrm xmlns:a="http://schemas.openxmlformats.org/drawingml/2006/main">
          <a:off x="7440083" y="4307416"/>
          <a:ext cx="1090083" cy="27516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Banda</a:t>
          </a:r>
          <a:r>
            <a:rPr lang="es-AR" sz="1100" baseline="0"/>
            <a:t> Admisible</a:t>
          </a:r>
          <a:endParaRPr lang="es-AR" sz="1100"/>
        </a:p>
      </cdr:txBody>
    </cdr:sp>
  </cdr:relSizeAnchor>
  <cdr:relSizeAnchor xmlns:cdr="http://schemas.openxmlformats.org/drawingml/2006/chartDrawing">
    <cdr:from>
      <cdr:x>0.56998</cdr:x>
      <cdr:y>0.51969</cdr:y>
    </cdr:from>
    <cdr:to>
      <cdr:x>0.69709</cdr:x>
      <cdr:y>0.56773</cdr:y>
    </cdr:to>
    <cdr:sp macro="" textlink="">
      <cdr:nvSpPr>
        <cdr:cNvPr id="8" name="7 Conector recto de flecha"/>
        <cdr:cNvSpPr/>
      </cdr:nvSpPr>
      <cdr:spPr>
        <a:xfrm xmlns:a="http://schemas.openxmlformats.org/drawingml/2006/main">
          <a:off x="6008890" y="3729403"/>
          <a:ext cx="1340011" cy="344745"/>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0.33474</cdr:x>
      <cdr:y>0.41947</cdr:y>
    </cdr:from>
    <cdr:to>
      <cdr:x>0.44652</cdr:x>
      <cdr:y>0.45607</cdr:y>
    </cdr:to>
    <cdr:sp macro="" textlink="">
      <cdr:nvSpPr>
        <cdr:cNvPr id="9" name="1 CuadroTexto"/>
        <cdr:cNvSpPr txBox="1"/>
      </cdr:nvSpPr>
      <cdr:spPr>
        <a:xfrm xmlns:a="http://schemas.openxmlformats.org/drawingml/2006/main">
          <a:off x="3459223" y="3014282"/>
          <a:ext cx="1155109" cy="263006"/>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Contractual</a:t>
          </a:r>
        </a:p>
      </cdr:txBody>
    </cdr:sp>
  </cdr:relSizeAnchor>
  <cdr:relSizeAnchor xmlns:cdr="http://schemas.openxmlformats.org/drawingml/2006/chartDrawing">
    <cdr:from>
      <cdr:x>0.39341</cdr:x>
      <cdr:y>0.46133</cdr:y>
    </cdr:from>
    <cdr:to>
      <cdr:x>0.4845</cdr:x>
      <cdr:y>0.54113</cdr:y>
    </cdr:to>
    <cdr:sp macro="" textlink="">
      <cdr:nvSpPr>
        <cdr:cNvPr id="10" name="2 Conector recto de flecha"/>
        <cdr:cNvSpPr/>
      </cdr:nvSpPr>
      <cdr:spPr>
        <a:xfrm xmlns:a="http://schemas.openxmlformats.org/drawingml/2006/main" flipH="1" flipV="1">
          <a:off x="4147428" y="3310600"/>
          <a:ext cx="960249" cy="572668"/>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63499</xdr:colOff>
      <xdr:row>0</xdr:row>
      <xdr:rowOff>10583</xdr:rowOff>
    </xdr:from>
    <xdr:to>
      <xdr:col>13</xdr:col>
      <xdr:colOff>529166</xdr:colOff>
      <xdr:row>41</xdr:row>
      <xdr:rowOff>0</xdr:rowOff>
    </xdr:to>
    <xdr:graphicFrame macro="">
      <xdr:nvGraphicFramePr>
        <xdr:cNvPr id="3"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21"/>
  <sheetViews>
    <sheetView zoomScale="90" zoomScaleNormal="90" workbookViewId="0">
      <selection activeCell="B26" sqref="B26"/>
    </sheetView>
  </sheetViews>
  <sheetFormatPr baseColWidth="10" defaultRowHeight="12.75" x14ac:dyDescent="0.2"/>
  <cols>
    <col min="1" max="1" width="5.140625" customWidth="1"/>
    <col min="2" max="2" width="35" customWidth="1"/>
    <col min="3" max="3" width="139.42578125" customWidth="1"/>
    <col min="4" max="4" width="4.28515625" bestFit="1" customWidth="1"/>
    <col min="5" max="5" width="4.42578125" customWidth="1"/>
    <col min="7" max="7" width="141.28515625" customWidth="1"/>
    <col min="8" max="8" width="8" customWidth="1"/>
    <col min="9" max="9" width="6.28515625" customWidth="1"/>
    <col min="10" max="10" width="14.5703125" customWidth="1"/>
    <col min="12" max="12" width="16" customWidth="1"/>
  </cols>
  <sheetData>
    <row r="1" spans="1:8" x14ac:dyDescent="0.2">
      <c r="B1" s="127" t="s">
        <v>7</v>
      </c>
      <c r="C1" s="438" t="s">
        <v>1123</v>
      </c>
      <c r="E1" s="127"/>
      <c r="H1" s="181"/>
    </row>
    <row r="2" spans="1:8" x14ac:dyDescent="0.2">
      <c r="B2" s="129" t="s">
        <v>8</v>
      </c>
      <c r="C2" s="439" t="s">
        <v>1372</v>
      </c>
      <c r="E2" s="127"/>
      <c r="H2" s="182"/>
    </row>
    <row r="3" spans="1:8" x14ac:dyDescent="0.2">
      <c r="B3" s="129" t="s">
        <v>12</v>
      </c>
      <c r="C3" s="440" t="s">
        <v>1373</v>
      </c>
      <c r="E3" s="131"/>
      <c r="H3" s="182"/>
    </row>
    <row r="4" spans="1:8" x14ac:dyDescent="0.2">
      <c r="B4" s="129" t="s">
        <v>11</v>
      </c>
      <c r="C4" s="489" t="s">
        <v>1376</v>
      </c>
      <c r="E4" s="218"/>
      <c r="H4" s="182"/>
    </row>
    <row r="5" spans="1:8" ht="13.5" thickBot="1" x14ac:dyDescent="0.25">
      <c r="B5" s="129" t="s">
        <v>32</v>
      </c>
      <c r="C5" s="490"/>
      <c r="E5" s="182"/>
      <c r="H5" s="182"/>
    </row>
    <row r="6" spans="1:8" x14ac:dyDescent="0.2">
      <c r="B6" s="129" t="s">
        <v>14</v>
      </c>
      <c r="C6" s="441">
        <v>128962339.14067999</v>
      </c>
      <c r="E6" s="219"/>
      <c r="F6" s="138"/>
      <c r="G6" s="146" t="s">
        <v>1140</v>
      </c>
      <c r="H6" s="150"/>
    </row>
    <row r="7" spans="1:8" ht="13.5" thickBot="1" x14ac:dyDescent="0.25">
      <c r="B7" s="129" t="s">
        <v>1104</v>
      </c>
      <c r="C7" s="493">
        <v>0.05</v>
      </c>
      <c r="E7" s="220"/>
      <c r="F7" s="139"/>
      <c r="G7" s="128"/>
      <c r="H7" s="141"/>
    </row>
    <row r="8" spans="1:8" ht="13.5" thickBot="1" x14ac:dyDescent="0.25">
      <c r="B8" s="129" t="s">
        <v>1102</v>
      </c>
      <c r="C8" s="491" t="s">
        <v>1318</v>
      </c>
      <c r="E8" s="221"/>
      <c r="F8" s="139"/>
      <c r="G8" s="148" t="s">
        <v>1141</v>
      </c>
      <c r="H8" s="141"/>
    </row>
    <row r="9" spans="1:8" ht="13.5" thickBot="1" x14ac:dyDescent="0.25">
      <c r="B9" s="129" t="s">
        <v>13</v>
      </c>
      <c r="C9" s="492">
        <v>360</v>
      </c>
      <c r="E9" s="132"/>
      <c r="F9" s="139"/>
      <c r="G9" s="131"/>
      <c r="H9" s="141"/>
    </row>
    <row r="10" spans="1:8" ht="13.5" thickBot="1" x14ac:dyDescent="0.25">
      <c r="A10" s="130"/>
      <c r="B10" s="129" t="s">
        <v>1254</v>
      </c>
      <c r="C10" s="491">
        <v>43770</v>
      </c>
      <c r="E10" s="132"/>
      <c r="F10" s="139"/>
      <c r="G10" s="149" t="s">
        <v>1142</v>
      </c>
      <c r="H10" s="141"/>
    </row>
    <row r="11" spans="1:8" ht="13.5" thickBot="1" x14ac:dyDescent="0.25">
      <c r="B11" s="127"/>
      <c r="C11" s="442"/>
      <c r="E11" s="127"/>
      <c r="F11" s="142"/>
      <c r="G11" s="130"/>
      <c r="H11" s="140"/>
    </row>
    <row r="12" spans="1:8" ht="13.5" thickBot="1" x14ac:dyDescent="0.25">
      <c r="B12" s="129" t="s">
        <v>9</v>
      </c>
      <c r="C12" s="322" t="s">
        <v>1240</v>
      </c>
      <c r="E12" s="222"/>
      <c r="F12" s="139"/>
      <c r="G12" s="213" t="s">
        <v>1144</v>
      </c>
      <c r="H12" s="141"/>
    </row>
    <row r="13" spans="1:8" ht="13.5" thickBot="1" x14ac:dyDescent="0.25">
      <c r="B13" s="129" t="s">
        <v>1152</v>
      </c>
      <c r="C13" s="135">
        <v>0</v>
      </c>
      <c r="E13" s="223"/>
      <c r="F13" s="139"/>
      <c r="G13" s="128"/>
      <c r="H13" s="141"/>
    </row>
    <row r="14" spans="1:8" ht="13.5" thickBot="1" x14ac:dyDescent="0.25">
      <c r="B14" s="129" t="s">
        <v>1117</v>
      </c>
      <c r="C14" s="135"/>
      <c r="E14" s="223"/>
      <c r="F14" s="147"/>
      <c r="G14" s="214" t="s">
        <v>1143</v>
      </c>
      <c r="H14" s="140"/>
    </row>
    <row r="15" spans="1:8" ht="13.5" thickBot="1" x14ac:dyDescent="0.25">
      <c r="B15" s="129" t="s">
        <v>1116</v>
      </c>
      <c r="C15" s="135"/>
      <c r="E15" s="223"/>
      <c r="F15" s="143"/>
      <c r="G15" s="144"/>
      <c r="H15" s="145"/>
    </row>
    <row r="16" spans="1:8" x14ac:dyDescent="0.2">
      <c r="B16" s="129" t="s">
        <v>1115</v>
      </c>
      <c r="C16" s="136">
        <v>2.4E-2</v>
      </c>
      <c r="E16" s="223"/>
    </row>
    <row r="17" spans="1:10" ht="13.5" thickBot="1" x14ac:dyDescent="0.25">
      <c r="B17" s="129" t="s">
        <v>1157</v>
      </c>
      <c r="C17" s="136">
        <v>0.105</v>
      </c>
      <c r="E17" s="223"/>
    </row>
    <row r="18" spans="1:10" ht="13.5" thickBot="1" x14ac:dyDescent="0.25">
      <c r="B18" s="129" t="s">
        <v>1158</v>
      </c>
      <c r="C18" s="136">
        <v>0.21</v>
      </c>
      <c r="E18" s="223"/>
      <c r="F18" s="151" t="s">
        <v>1145</v>
      </c>
      <c r="G18" s="152"/>
      <c r="H18" s="444"/>
      <c r="I18" s="445"/>
    </row>
    <row r="19" spans="1:10" ht="13.5" thickBot="1" x14ac:dyDescent="0.25">
      <c r="B19" s="129" t="s">
        <v>1129</v>
      </c>
      <c r="C19" s="409">
        <f>PrecioUnitario(1,Costo_Financiero,Gastos_Generales,Beneficio,Ingresos_Brutos,IVA_Vivienda)</f>
        <v>1.129</v>
      </c>
      <c r="E19" s="181"/>
    </row>
    <row r="20" spans="1:10" ht="13.5" thickBot="1" x14ac:dyDescent="0.25">
      <c r="B20" s="129" t="s">
        <v>1130</v>
      </c>
      <c r="C20" s="409">
        <f>PrecioUnitario(1,Costo_Financiero,Gastos_Generales,Beneficio,Ingresos_Brutos,IVA_Infraestructura)</f>
        <v>1.234</v>
      </c>
      <c r="E20" s="181"/>
      <c r="F20" s="151" t="s">
        <v>1146</v>
      </c>
      <c r="G20" s="153"/>
    </row>
    <row r="21" spans="1:10" x14ac:dyDescent="0.2">
      <c r="B21" s="133" t="s">
        <v>1136</v>
      </c>
      <c r="C21" s="443">
        <v>0</v>
      </c>
      <c r="E21" s="224"/>
    </row>
    <row r="24" spans="1:10" x14ac:dyDescent="0.2">
      <c r="B24" s="415" t="s">
        <v>1139</v>
      </c>
      <c r="C24" s="416"/>
    </row>
    <row r="25" spans="1:10" ht="15.75" customHeight="1" x14ac:dyDescent="0.2">
      <c r="B25" s="137" t="s">
        <v>1125</v>
      </c>
      <c r="C25" s="137" t="s">
        <v>1138</v>
      </c>
      <c r="F25" s="599"/>
      <c r="G25" s="599"/>
    </row>
    <row r="26" spans="1:10" ht="12.75" customHeight="1" x14ac:dyDescent="0.2">
      <c r="B26" s="137" t="s">
        <v>1126</v>
      </c>
      <c r="C26" s="137" t="s">
        <v>1135</v>
      </c>
      <c r="F26" s="599"/>
      <c r="G26" s="599"/>
    </row>
    <row r="30" spans="1:10" x14ac:dyDescent="0.2">
      <c r="A30" s="87"/>
      <c r="B30" s="422" t="s">
        <v>1156</v>
      </c>
      <c r="C30" s="423"/>
      <c r="D30" s="424"/>
      <c r="E30" s="212"/>
      <c r="F30" s="168"/>
      <c r="G30" s="87"/>
      <c r="H30" s="88"/>
      <c r="I30" s="87"/>
      <c r="J30" s="168"/>
    </row>
    <row r="31" spans="1:10" x14ac:dyDescent="0.2">
      <c r="A31" s="87"/>
      <c r="B31" s="87"/>
      <c r="C31" s="87"/>
      <c r="D31" s="171"/>
      <c r="E31" s="171"/>
      <c r="F31" s="87"/>
      <c r="G31" s="87"/>
      <c r="H31" s="88"/>
      <c r="I31" s="87"/>
      <c r="J31" s="87"/>
    </row>
    <row r="32" spans="1:10" ht="63.75" x14ac:dyDescent="0.2">
      <c r="A32" s="87"/>
      <c r="B32" s="417" t="s">
        <v>1105</v>
      </c>
      <c r="C32" s="418" t="s">
        <v>0</v>
      </c>
      <c r="D32" s="419" t="s">
        <v>1</v>
      </c>
      <c r="E32" s="217"/>
      <c r="F32" s="165"/>
      <c r="G32" s="418" t="s">
        <v>1153</v>
      </c>
      <c r="H32" s="418"/>
      <c r="I32" s="172"/>
      <c r="J32" s="420" t="s">
        <v>1154</v>
      </c>
    </row>
    <row r="33" spans="1:10" x14ac:dyDescent="0.2">
      <c r="A33" s="87"/>
      <c r="B33" s="417"/>
      <c r="C33" s="418"/>
      <c r="D33" s="419"/>
      <c r="E33" s="217"/>
      <c r="F33" s="165"/>
      <c r="G33" s="167" t="s">
        <v>1155</v>
      </c>
      <c r="H33" s="170" t="s">
        <v>1</v>
      </c>
      <c r="I33" s="173"/>
      <c r="J33" s="421"/>
    </row>
    <row r="34" spans="1:10" x14ac:dyDescent="0.2">
      <c r="A34" s="87"/>
      <c r="B34" s="174"/>
      <c r="C34" s="169"/>
      <c r="D34" s="175"/>
      <c r="E34" s="217"/>
      <c r="F34" s="165"/>
      <c r="G34" s="176"/>
      <c r="H34" s="183"/>
      <c r="I34" s="87"/>
      <c r="J34" s="177"/>
    </row>
    <row r="35" spans="1:10" x14ac:dyDescent="0.2">
      <c r="A35" s="216">
        <f>IF(D35=0,A34,A34+1)</f>
        <v>0</v>
      </c>
      <c r="B35" s="226" t="s">
        <v>1125</v>
      </c>
      <c r="C35" s="85" t="str">
        <f>IFERROR(VLOOKUP(J35,Tabla_Código_Items,2,FALSE),G35)</f>
        <v>VIVIENDA</v>
      </c>
      <c r="D35" s="183">
        <f>IFERROR(VLOOKUP(J35,Tabla_Código_Items,2,FALSE),H35)</f>
        <v>0</v>
      </c>
      <c r="E35" s="134"/>
      <c r="F35" s="178"/>
      <c r="G35" s="137" t="s">
        <v>1138</v>
      </c>
      <c r="H35" s="137"/>
      <c r="I35" s="171"/>
      <c r="J35" s="179"/>
    </row>
    <row r="36" spans="1:10" x14ac:dyDescent="0.2">
      <c r="A36" s="216">
        <f t="shared" ref="A36:A99" si="0">IF(D36=0,A35,A35+1)</f>
        <v>1</v>
      </c>
      <c r="B36" s="215">
        <v>1</v>
      </c>
      <c r="C36" s="85" t="str">
        <f>IFERROR(VLOOKUP(J36,Tabla_Items,2,FALSE),G36)</f>
        <v>Limpieza de terreno y replanteo</v>
      </c>
      <c r="D36" s="183" t="str">
        <f>IFERROR(VLOOKUP(J36,Tabla_Items,2,FALSE),H36)</f>
        <v>gl</v>
      </c>
      <c r="E36" s="134"/>
      <c r="F36" s="180"/>
      <c r="G36" s="179" t="s">
        <v>1320</v>
      </c>
      <c r="H36" s="184" t="s">
        <v>3</v>
      </c>
      <c r="I36" s="171"/>
      <c r="J36" s="179"/>
    </row>
    <row r="37" spans="1:10" x14ac:dyDescent="0.2">
      <c r="A37" s="216">
        <f t="shared" si="0"/>
        <v>2</v>
      </c>
      <c r="B37" s="215">
        <v>2</v>
      </c>
      <c r="C37" s="85" t="str">
        <f t="shared" ref="C37:C57" si="1">IFERROR(VLOOKUP(J37,Tabla_Items,2,FALSE),G37)</f>
        <v>Excavación de Cimientos</v>
      </c>
      <c r="D37" s="183" t="str">
        <f t="shared" ref="D37:D57" si="2">IFERROR(VLOOKUP(J37,Tabla_Items,2,FALSE),H37)</f>
        <v>m3</v>
      </c>
      <c r="E37" s="134"/>
      <c r="F37" s="180"/>
      <c r="G37" s="179" t="s">
        <v>1321</v>
      </c>
      <c r="H37" s="184" t="s">
        <v>4</v>
      </c>
      <c r="I37" s="171"/>
      <c r="J37" s="179"/>
    </row>
    <row r="38" spans="1:10" x14ac:dyDescent="0.2">
      <c r="A38" s="216">
        <f t="shared" si="0"/>
        <v>3</v>
      </c>
      <c r="B38" s="215">
        <v>3</v>
      </c>
      <c r="C38" s="85" t="str">
        <f>IFERROR(VLOOKUP(J38,Tabla_Items,2,FALSE),G38)</f>
        <v xml:space="preserve">Relleno Bajo Contrapiso </v>
      </c>
      <c r="D38" s="183" t="str">
        <f t="shared" si="2"/>
        <v>m3</v>
      </c>
      <c r="E38" s="134"/>
      <c r="F38" s="180"/>
      <c r="G38" s="179" t="s">
        <v>1322</v>
      </c>
      <c r="H38" s="184" t="s">
        <v>4</v>
      </c>
      <c r="I38" s="171"/>
      <c r="J38" s="179"/>
    </row>
    <row r="39" spans="1:10" x14ac:dyDescent="0.2">
      <c r="A39" s="216">
        <f t="shared" si="0"/>
        <v>4</v>
      </c>
      <c r="B39" s="215">
        <v>4</v>
      </c>
      <c r="C39" s="85" t="str">
        <f t="shared" si="1"/>
        <v>Hormigón de limpieza</v>
      </c>
      <c r="D39" s="183" t="str">
        <f t="shared" si="2"/>
        <v>m2</v>
      </c>
      <c r="E39" s="134"/>
      <c r="F39" s="180"/>
      <c r="G39" s="179" t="s">
        <v>1323</v>
      </c>
      <c r="H39" s="184" t="s">
        <v>5</v>
      </c>
      <c r="I39" s="171"/>
      <c r="J39" s="179"/>
    </row>
    <row r="40" spans="1:10" x14ac:dyDescent="0.2">
      <c r="A40" s="216">
        <f t="shared" si="0"/>
        <v>5</v>
      </c>
      <c r="B40" s="215">
        <v>5</v>
      </c>
      <c r="C40" s="85" t="str">
        <f>IFERROR(VLOOKUP(J40,Tabla_Items,2,FALSE),G40)</f>
        <v>Cimiento Ciclópeo H 13</v>
      </c>
      <c r="D40" s="183" t="str">
        <f t="shared" si="2"/>
        <v>m3</v>
      </c>
      <c r="E40" s="134"/>
      <c r="F40" s="180"/>
      <c r="G40" s="179" t="s">
        <v>1354</v>
      </c>
      <c r="H40" s="184" t="s">
        <v>4</v>
      </c>
      <c r="I40" s="171"/>
      <c r="J40" s="179"/>
    </row>
    <row r="41" spans="1:10" x14ac:dyDescent="0.2">
      <c r="A41" s="216">
        <f t="shared" si="0"/>
        <v>6</v>
      </c>
      <c r="B41" s="215">
        <v>6</v>
      </c>
      <c r="C41" s="85" t="str">
        <f t="shared" si="1"/>
        <v>Dado Fundación  h=15cm</v>
      </c>
      <c r="D41" s="183" t="str">
        <f t="shared" si="2"/>
        <v>m3</v>
      </c>
      <c r="E41" s="134"/>
      <c r="F41" s="180"/>
      <c r="G41" s="179" t="s">
        <v>1324</v>
      </c>
      <c r="H41" s="184" t="s">
        <v>4</v>
      </c>
      <c r="I41" s="171"/>
      <c r="J41" s="179"/>
    </row>
    <row r="42" spans="1:10" x14ac:dyDescent="0.2">
      <c r="A42" s="216">
        <f t="shared" si="0"/>
        <v>7</v>
      </c>
      <c r="B42" s="215">
        <v>7</v>
      </c>
      <c r="C42" s="85" t="str">
        <f t="shared" si="1"/>
        <v>Vigas de Encadenado Inferior - Fundación  H 17</v>
      </c>
      <c r="D42" s="183" t="str">
        <f t="shared" si="2"/>
        <v>m3</v>
      </c>
      <c r="E42" s="134"/>
      <c r="F42" s="180"/>
      <c r="G42" s="179" t="s">
        <v>1325</v>
      </c>
      <c r="H42" s="184" t="s">
        <v>4</v>
      </c>
      <c r="I42" s="171"/>
      <c r="J42" s="179"/>
    </row>
    <row r="43" spans="1:10" x14ac:dyDescent="0.2">
      <c r="A43" s="216">
        <f t="shared" si="0"/>
        <v>8</v>
      </c>
      <c r="B43" s="215">
        <v>8</v>
      </c>
      <c r="C43" s="85" t="str">
        <f t="shared" si="1"/>
        <v>Columna de Encadenado (incluye tronco de columna)</v>
      </c>
      <c r="D43" s="183" t="str">
        <f t="shared" si="2"/>
        <v>m3</v>
      </c>
      <c r="E43" s="134"/>
      <c r="F43" s="180"/>
      <c r="G43" s="179" t="s">
        <v>1326</v>
      </c>
      <c r="H43" s="184" t="s">
        <v>4</v>
      </c>
      <c r="I43" s="171"/>
      <c r="J43" s="179"/>
    </row>
    <row r="44" spans="1:10" x14ac:dyDescent="0.2">
      <c r="A44" s="216">
        <f t="shared" si="0"/>
        <v>9</v>
      </c>
      <c r="B44" s="215">
        <v>9</v>
      </c>
      <c r="C44" s="85" t="str">
        <f>IFERROR(VLOOKUP(J44,Tabla_Items,2,FALSE),G44)</f>
        <v>Vigas de Encadenado Superior, Dintel y de Carga</v>
      </c>
      <c r="D44" s="183" t="str">
        <f t="shared" si="2"/>
        <v>m3</v>
      </c>
      <c r="E44" s="134"/>
      <c r="F44" s="180"/>
      <c r="G44" s="179" t="s">
        <v>1327</v>
      </c>
      <c r="H44" s="184" t="s">
        <v>4</v>
      </c>
      <c r="I44" s="171"/>
      <c r="J44" s="179"/>
    </row>
    <row r="45" spans="1:10" x14ac:dyDescent="0.2">
      <c r="A45" s="216">
        <f t="shared" si="0"/>
        <v>10</v>
      </c>
      <c r="B45" s="215">
        <v>10</v>
      </c>
      <c r="C45" s="85" t="str">
        <f t="shared" si="1"/>
        <v>Losa de Hormigón Armado</v>
      </c>
      <c r="D45" s="183" t="str">
        <f t="shared" si="2"/>
        <v>m3</v>
      </c>
      <c r="E45" s="134"/>
      <c r="F45" s="180"/>
      <c r="G45" s="179" t="s">
        <v>1328</v>
      </c>
      <c r="H45" s="184" t="s">
        <v>4</v>
      </c>
      <c r="I45" s="171"/>
      <c r="J45" s="179"/>
    </row>
    <row r="46" spans="1:10" x14ac:dyDescent="0.2">
      <c r="A46" s="216">
        <f t="shared" si="0"/>
        <v>11</v>
      </c>
      <c r="B46" s="215">
        <v>11</v>
      </c>
      <c r="C46" s="85" t="str">
        <f t="shared" si="1"/>
        <v>Tanque de Reserva (incluido cierre base tanque)</v>
      </c>
      <c r="D46" s="183" t="str">
        <f t="shared" si="2"/>
        <v>gl</v>
      </c>
      <c r="E46" s="134"/>
      <c r="F46" s="180"/>
      <c r="G46" s="179" t="s">
        <v>1329</v>
      </c>
      <c r="H46" s="184" t="s">
        <v>3</v>
      </c>
      <c r="I46" s="171"/>
      <c r="J46" s="179"/>
    </row>
    <row r="47" spans="1:10" x14ac:dyDescent="0.2">
      <c r="A47" s="216">
        <f t="shared" si="0"/>
        <v>12</v>
      </c>
      <c r="B47" s="215">
        <v>12</v>
      </c>
      <c r="C47" s="85" t="str">
        <f t="shared" si="1"/>
        <v>Capa aisladora horizontal  18cm</v>
      </c>
      <c r="D47" s="183" t="str">
        <f t="shared" si="2"/>
        <v>m2</v>
      </c>
      <c r="E47" s="134"/>
      <c r="F47" s="180"/>
      <c r="G47" s="179" t="s">
        <v>1330</v>
      </c>
      <c r="H47" s="184" t="s">
        <v>5</v>
      </c>
      <c r="I47" s="171"/>
      <c r="J47" s="179"/>
    </row>
    <row r="48" spans="1:10" x14ac:dyDescent="0.2">
      <c r="A48" s="216">
        <f t="shared" si="0"/>
        <v>13</v>
      </c>
      <c r="B48" s="215">
        <v>13</v>
      </c>
      <c r="C48" s="85" t="str">
        <f t="shared" si="1"/>
        <v xml:space="preserve">Mampostería Ladrillón Cerámico Macizo (soga) </v>
      </c>
      <c r="D48" s="183" t="str">
        <f t="shared" si="2"/>
        <v>m2</v>
      </c>
      <c r="E48" s="134"/>
      <c r="F48" s="180"/>
      <c r="G48" s="179" t="s">
        <v>1331</v>
      </c>
      <c r="H48" s="184" t="s">
        <v>5</v>
      </c>
      <c r="I48" s="171"/>
      <c r="J48" s="179"/>
    </row>
    <row r="49" spans="1:12" x14ac:dyDescent="0.2">
      <c r="A49" s="216">
        <f t="shared" si="0"/>
        <v>14</v>
      </c>
      <c r="B49" s="215">
        <v>14</v>
      </c>
      <c r="C49" s="85" t="str">
        <f t="shared" si="1"/>
        <v>Tabique  Liviano  tipo Durlock ( con placa de yeso de 12,5 mm para sectores húmedos)</v>
      </c>
      <c r="D49" s="183" t="str">
        <f t="shared" si="2"/>
        <v>m2</v>
      </c>
      <c r="E49" s="134"/>
      <c r="F49" s="180"/>
      <c r="G49" s="179" t="s">
        <v>1332</v>
      </c>
      <c r="H49" s="184" t="s">
        <v>5</v>
      </c>
      <c r="I49" s="171"/>
      <c r="J49" s="179"/>
    </row>
    <row r="50" spans="1:12" x14ac:dyDescent="0.2">
      <c r="A50" s="216">
        <f t="shared" si="0"/>
        <v>15</v>
      </c>
      <c r="B50" s="215">
        <v>15</v>
      </c>
      <c r="C50" s="85" t="str">
        <f t="shared" si="1"/>
        <v>Techo de Madera (rollizo Ø 16cm, machimbre 3/4", pintura asfáltica, polietileno de 200 micrones, barniz protector insecticida )</v>
      </c>
      <c r="D50" s="183" t="str">
        <f t="shared" si="2"/>
        <v>m2</v>
      </c>
      <c r="E50" s="134"/>
      <c r="F50" s="180"/>
      <c r="G50" s="179" t="s">
        <v>1333</v>
      </c>
      <c r="H50" s="184" t="s">
        <v>5</v>
      </c>
      <c r="I50" s="171"/>
      <c r="J50" s="179"/>
    </row>
    <row r="51" spans="1:12" x14ac:dyDescent="0.2">
      <c r="A51" s="216">
        <f t="shared" si="0"/>
        <v>16</v>
      </c>
      <c r="B51" s="215">
        <v>16</v>
      </c>
      <c r="C51" s="85" t="str">
        <f t="shared" si="1"/>
        <v>Cubierta de Techo Aislación Térmica e Hidráulica</v>
      </c>
      <c r="D51" s="183" t="str">
        <f t="shared" si="2"/>
        <v>m2</v>
      </c>
      <c r="E51" s="134"/>
      <c r="F51" s="180"/>
      <c r="G51" s="179" t="s">
        <v>1334</v>
      </c>
      <c r="H51" s="184" t="s">
        <v>5</v>
      </c>
      <c r="I51" s="171"/>
      <c r="J51" s="179"/>
    </row>
    <row r="52" spans="1:12" x14ac:dyDescent="0.2">
      <c r="A52" s="216">
        <f t="shared" si="0"/>
        <v>17</v>
      </c>
      <c r="B52" s="215">
        <v>17</v>
      </c>
      <c r="C52" s="85" t="str">
        <f t="shared" si="1"/>
        <v>Contrapiso  Interior</v>
      </c>
      <c r="D52" s="183" t="str">
        <f t="shared" si="2"/>
        <v>m2</v>
      </c>
      <c r="E52" s="134"/>
      <c r="F52" s="180"/>
      <c r="G52" s="179" t="s">
        <v>1335</v>
      </c>
      <c r="H52" s="184" t="s">
        <v>5</v>
      </c>
      <c r="I52" s="171"/>
      <c r="J52" s="179"/>
    </row>
    <row r="53" spans="1:12" x14ac:dyDescent="0.2">
      <c r="A53" s="216">
        <f t="shared" si="0"/>
        <v>18</v>
      </c>
      <c r="B53" s="215">
        <v>18</v>
      </c>
      <c r="C53" s="85" t="str">
        <f t="shared" si="1"/>
        <v>Carpeta bajo Cerámico e=4cm</v>
      </c>
      <c r="D53" s="183" t="str">
        <f t="shared" si="2"/>
        <v>m2</v>
      </c>
      <c r="E53" s="134"/>
      <c r="F53" s="180"/>
      <c r="G53" s="179" t="s">
        <v>1336</v>
      </c>
      <c r="H53" s="184" t="s">
        <v>5</v>
      </c>
      <c r="I53" s="171"/>
      <c r="J53" s="179"/>
      <c r="L53" s="394"/>
    </row>
    <row r="54" spans="1:12" x14ac:dyDescent="0.2">
      <c r="A54" s="216">
        <f t="shared" si="0"/>
        <v>19</v>
      </c>
      <c r="B54" s="215">
        <v>19</v>
      </c>
      <c r="C54" s="85" t="str">
        <f t="shared" si="1"/>
        <v>Piso baldosa cerámica (incluido umbrales)</v>
      </c>
      <c r="D54" s="183" t="str">
        <f t="shared" si="2"/>
        <v>m2</v>
      </c>
      <c r="E54" s="134"/>
      <c r="F54" s="180"/>
      <c r="G54" s="179" t="s">
        <v>1337</v>
      </c>
      <c r="H54" s="184" t="s">
        <v>5</v>
      </c>
      <c r="I54" s="171"/>
      <c r="J54" s="179"/>
    </row>
    <row r="55" spans="1:12" x14ac:dyDescent="0.2">
      <c r="A55" s="216">
        <f t="shared" si="0"/>
        <v>20</v>
      </c>
      <c r="B55" s="215">
        <v>20</v>
      </c>
      <c r="C55" s="85" t="str">
        <f t="shared" si="1"/>
        <v>Contrapisos de Veredín perimetral, vereda de acceso y galería</v>
      </c>
      <c r="D55" s="183" t="str">
        <f t="shared" si="2"/>
        <v>m2</v>
      </c>
      <c r="E55" s="134"/>
      <c r="F55" s="180"/>
      <c r="G55" s="179" t="s">
        <v>1338</v>
      </c>
      <c r="H55" s="184" t="s">
        <v>5</v>
      </c>
      <c r="I55" s="171"/>
      <c r="J55" s="179"/>
    </row>
    <row r="56" spans="1:12" x14ac:dyDescent="0.2">
      <c r="A56" s="216">
        <f t="shared" si="0"/>
        <v>21</v>
      </c>
      <c r="B56" s="215">
        <v>21</v>
      </c>
      <c r="C56" s="85" t="str">
        <f t="shared" si="1"/>
        <v>Zócalo cerámico - esp.= 7cm</v>
      </c>
      <c r="D56" s="183" t="str">
        <f t="shared" si="2"/>
        <v>m2</v>
      </c>
      <c r="E56" s="134"/>
      <c r="F56" s="180"/>
      <c r="G56" s="179" t="s">
        <v>1339</v>
      </c>
      <c r="H56" s="184" t="s">
        <v>5</v>
      </c>
      <c r="I56" s="171"/>
      <c r="J56" s="179"/>
    </row>
    <row r="57" spans="1:12" x14ac:dyDescent="0.2">
      <c r="A57" s="216">
        <f t="shared" si="0"/>
        <v>22</v>
      </c>
      <c r="B57" s="215">
        <v>22</v>
      </c>
      <c r="C57" s="85" t="str">
        <f t="shared" si="1"/>
        <v>Carpinterías metálica, aluminio y madera</v>
      </c>
      <c r="D57" s="183" t="str">
        <f t="shared" si="2"/>
        <v>gl</v>
      </c>
      <c r="E57" s="134"/>
      <c r="F57" s="180"/>
      <c r="G57" s="179" t="s">
        <v>1340</v>
      </c>
      <c r="H57" s="184" t="s">
        <v>3</v>
      </c>
      <c r="I57" s="171"/>
      <c r="J57" s="179"/>
    </row>
    <row r="58" spans="1:12" x14ac:dyDescent="0.2">
      <c r="A58" s="216">
        <f t="shared" si="0"/>
        <v>23</v>
      </c>
      <c r="B58" s="215">
        <v>23</v>
      </c>
      <c r="C58" s="85" t="str">
        <f t="shared" ref="C58:C71" si="3">IFERROR(VLOOKUP(J58,Tabla_Items,2,FALSE),G58)</f>
        <v>Jaharro b/ revestimiento cerámico</v>
      </c>
      <c r="D58" s="183" t="str">
        <f t="shared" ref="D58:D71" si="4">IFERROR(VLOOKUP(J58,Tabla_Items,2,FALSE),H58)</f>
        <v>m2</v>
      </c>
      <c r="E58" s="134"/>
      <c r="F58" s="180"/>
      <c r="G58" s="179" t="s">
        <v>1308</v>
      </c>
      <c r="H58" s="184" t="s">
        <v>5</v>
      </c>
      <c r="I58" s="171"/>
      <c r="J58" s="179"/>
    </row>
    <row r="59" spans="1:12" x14ac:dyDescent="0.2">
      <c r="A59" s="216">
        <f t="shared" si="0"/>
        <v>24</v>
      </c>
      <c r="B59" s="215">
        <v>24</v>
      </c>
      <c r="C59" s="85" t="str">
        <f t="shared" ref="C59" si="5">IFERROR(VLOOKUP(J59,Tabla_Items,2,FALSE),G59)</f>
        <v>Jaharro y Enlucido a la cal (interior)</v>
      </c>
      <c r="D59" s="183" t="str">
        <f t="shared" ref="D59" si="6">IFERROR(VLOOKUP(J59,Tabla_Items,2,FALSE),H59)</f>
        <v>m2</v>
      </c>
      <c r="E59" s="134"/>
      <c r="F59" s="180"/>
      <c r="G59" s="179" t="s">
        <v>1309</v>
      </c>
      <c r="H59" s="184" t="s">
        <v>5</v>
      </c>
      <c r="I59" s="171"/>
      <c r="J59" s="179"/>
    </row>
    <row r="60" spans="1:12" x14ac:dyDescent="0.2">
      <c r="A60" s="216">
        <f t="shared" si="0"/>
        <v>25</v>
      </c>
      <c r="B60" s="215">
        <v>25</v>
      </c>
      <c r="C60" s="85" t="str">
        <f t="shared" si="3"/>
        <v>Revestimiento cerámico</v>
      </c>
      <c r="D60" s="183" t="str">
        <f t="shared" si="4"/>
        <v>m2</v>
      </c>
      <c r="E60" s="134"/>
      <c r="F60" s="180"/>
      <c r="G60" s="179" t="s">
        <v>985</v>
      </c>
      <c r="H60" s="184" t="s">
        <v>5</v>
      </c>
      <c r="I60" s="171"/>
      <c r="J60" s="179"/>
    </row>
    <row r="61" spans="1:12" x14ac:dyDescent="0.2">
      <c r="A61" s="216">
        <f t="shared" si="0"/>
        <v>26</v>
      </c>
      <c r="B61" s="215">
        <v>26</v>
      </c>
      <c r="C61" s="85" t="str">
        <f t="shared" si="3"/>
        <v>Salpicado Plástico Incluido Jaharro</v>
      </c>
      <c r="D61" s="183" t="str">
        <f t="shared" si="4"/>
        <v>m2</v>
      </c>
      <c r="E61" s="134"/>
      <c r="F61" s="180"/>
      <c r="G61" s="179" t="s">
        <v>1341</v>
      </c>
      <c r="H61" s="184" t="s">
        <v>5</v>
      </c>
      <c r="I61" s="171"/>
      <c r="J61" s="179"/>
    </row>
    <row r="62" spans="1:12" x14ac:dyDescent="0.2">
      <c r="A62" s="216">
        <f t="shared" si="0"/>
        <v>27</v>
      </c>
      <c r="B62" s="215">
        <v>27</v>
      </c>
      <c r="C62" s="85" t="str">
        <f t="shared" si="3"/>
        <v>Cielorraso aplicado a la cal</v>
      </c>
      <c r="D62" s="183" t="str">
        <f t="shared" si="4"/>
        <v>m2</v>
      </c>
      <c r="E62" s="134"/>
      <c r="F62" s="180"/>
      <c r="G62" s="179" t="s">
        <v>979</v>
      </c>
      <c r="H62" s="184" t="s">
        <v>5</v>
      </c>
      <c r="I62" s="171"/>
      <c r="J62" s="179"/>
    </row>
    <row r="63" spans="1:12" x14ac:dyDescent="0.2">
      <c r="A63" s="216">
        <f t="shared" si="0"/>
        <v>28</v>
      </c>
      <c r="B63" s="215">
        <v>28</v>
      </c>
      <c r="C63" s="85" t="str">
        <f t="shared" ref="C63" si="7">IFERROR(VLOOKUP(J63,Tabla_Items,2,FALSE),G63)</f>
        <v>Mesadas, campana y ventilaciones (incluida mesada exterior)</v>
      </c>
      <c r="D63" s="183" t="str">
        <f t="shared" ref="D63" si="8">IFERROR(VLOOKUP(J63,Tabla_Items,2,FALSE),H63)</f>
        <v>gl</v>
      </c>
      <c r="E63" s="134"/>
      <c r="F63" s="180"/>
      <c r="G63" s="179" t="s">
        <v>1342</v>
      </c>
      <c r="H63" s="184" t="s">
        <v>3</v>
      </c>
      <c r="I63" s="171"/>
      <c r="J63" s="179"/>
    </row>
    <row r="64" spans="1:12" x14ac:dyDescent="0.2">
      <c r="A64" s="216">
        <f t="shared" si="0"/>
        <v>29</v>
      </c>
      <c r="B64" s="215" t="s">
        <v>1352</v>
      </c>
      <c r="C64" s="85" t="str">
        <f t="shared" si="3"/>
        <v>Mesadas, campana y ventilaciones p/ disc.(incluida mesada exterior)</v>
      </c>
      <c r="D64" s="183" t="str">
        <f t="shared" si="4"/>
        <v>gl</v>
      </c>
      <c r="E64" s="134"/>
      <c r="F64" s="180"/>
      <c r="G64" s="179" t="s">
        <v>1343</v>
      </c>
      <c r="H64" s="184" t="s">
        <v>3</v>
      </c>
      <c r="I64" s="171"/>
      <c r="J64" s="179"/>
    </row>
    <row r="65" spans="1:10" x14ac:dyDescent="0.2">
      <c r="A65" s="216">
        <f t="shared" si="0"/>
        <v>30</v>
      </c>
      <c r="B65" s="215">
        <v>29</v>
      </c>
      <c r="C65" s="85" t="str">
        <f t="shared" si="3"/>
        <v>Antepechos de H° Armado con goterón bajo nariz de 2cm</v>
      </c>
      <c r="D65" s="183" t="str">
        <f t="shared" si="4"/>
        <v>ml</v>
      </c>
      <c r="E65" s="134"/>
      <c r="F65" s="180"/>
      <c r="G65" s="179" t="s">
        <v>1344</v>
      </c>
      <c r="H65" s="184" t="s">
        <v>724</v>
      </c>
      <c r="I65" s="171"/>
      <c r="J65" s="179"/>
    </row>
    <row r="66" spans="1:10" x14ac:dyDescent="0.2">
      <c r="A66" s="216">
        <f t="shared" si="0"/>
        <v>31</v>
      </c>
      <c r="B66" s="215">
        <v>30</v>
      </c>
      <c r="C66" s="85" t="str">
        <f t="shared" si="3"/>
        <v>Esmalte sintético sobre carpintería metálica</v>
      </c>
      <c r="D66" s="183" t="str">
        <f t="shared" si="4"/>
        <v>m2</v>
      </c>
      <c r="E66" s="134"/>
      <c r="F66" s="180"/>
      <c r="G66" s="179" t="s">
        <v>1035</v>
      </c>
      <c r="H66" s="184" t="s">
        <v>5</v>
      </c>
      <c r="I66" s="171"/>
      <c r="J66" s="179"/>
    </row>
    <row r="67" spans="1:10" x14ac:dyDescent="0.2">
      <c r="A67" s="216">
        <f t="shared" si="0"/>
        <v>32</v>
      </c>
      <c r="B67" s="215">
        <v>31</v>
      </c>
      <c r="C67" s="85" t="str">
        <f t="shared" si="3"/>
        <v>Esmalte sintético sobre carpintería madera</v>
      </c>
      <c r="D67" s="183" t="str">
        <f t="shared" si="4"/>
        <v>m2</v>
      </c>
      <c r="E67" s="134"/>
      <c r="F67" s="180"/>
      <c r="G67" s="179" t="s">
        <v>1034</v>
      </c>
      <c r="H67" s="184" t="s">
        <v>5</v>
      </c>
      <c r="I67" s="171"/>
      <c r="J67" s="179"/>
    </row>
    <row r="68" spans="1:10" x14ac:dyDescent="0.2">
      <c r="A68" s="216">
        <f t="shared" si="0"/>
        <v>33</v>
      </c>
      <c r="B68" s="215">
        <v>32</v>
      </c>
      <c r="C68" s="85" t="str">
        <f t="shared" si="3"/>
        <v>Látex muro interior/exterior</v>
      </c>
      <c r="D68" s="183" t="str">
        <f t="shared" si="4"/>
        <v>m2</v>
      </c>
      <c r="E68" s="134"/>
      <c r="F68" s="180"/>
      <c r="G68" s="179" t="s">
        <v>1345</v>
      </c>
      <c r="H68" s="184" t="s">
        <v>5</v>
      </c>
      <c r="I68" s="171"/>
      <c r="J68" s="179"/>
    </row>
    <row r="69" spans="1:10" x14ac:dyDescent="0.2">
      <c r="A69" s="216">
        <f t="shared" si="0"/>
        <v>34</v>
      </c>
      <c r="B69" s="215">
        <v>33</v>
      </c>
      <c r="C69" s="85" t="str">
        <f t="shared" si="3"/>
        <v>Pintura látex interior en cielorrasos</v>
      </c>
      <c r="D69" s="183" t="str">
        <f t="shared" si="4"/>
        <v>m2</v>
      </c>
      <c r="E69" s="134"/>
      <c r="F69" s="180"/>
      <c r="G69" s="179" t="s">
        <v>1310</v>
      </c>
      <c r="H69" s="184" t="s">
        <v>5</v>
      </c>
      <c r="I69" s="171"/>
      <c r="J69" s="179"/>
    </row>
    <row r="70" spans="1:10" x14ac:dyDescent="0.2">
      <c r="A70" s="216">
        <f t="shared" si="0"/>
        <v>35</v>
      </c>
      <c r="B70" s="215">
        <v>34</v>
      </c>
      <c r="C70" s="85" t="str">
        <f t="shared" si="3"/>
        <v>Provisión y colocación de cristal float 3mm</v>
      </c>
      <c r="D70" s="183" t="str">
        <f t="shared" si="4"/>
        <v>m2</v>
      </c>
      <c r="E70" s="134"/>
      <c r="F70" s="180"/>
      <c r="G70" s="179" t="s">
        <v>1311</v>
      </c>
      <c r="H70" s="184" t="s">
        <v>5</v>
      </c>
      <c r="I70" s="171"/>
      <c r="J70" s="179"/>
    </row>
    <row r="71" spans="1:10" x14ac:dyDescent="0.2">
      <c r="A71" s="216">
        <f t="shared" si="0"/>
        <v>36</v>
      </c>
      <c r="B71" s="215">
        <v>35</v>
      </c>
      <c r="C71" s="85" t="str">
        <f t="shared" si="3"/>
        <v>Provisión y colocación de cristal float 4mm</v>
      </c>
      <c r="D71" s="183" t="str">
        <f t="shared" si="4"/>
        <v>m2</v>
      </c>
      <c r="E71" s="134"/>
      <c r="F71" s="180"/>
      <c r="G71" s="179" t="s">
        <v>1312</v>
      </c>
      <c r="H71" s="184" t="s">
        <v>5</v>
      </c>
      <c r="I71" s="171"/>
      <c r="J71" s="179"/>
    </row>
    <row r="72" spans="1:10" x14ac:dyDescent="0.2">
      <c r="A72" s="216">
        <f t="shared" si="0"/>
        <v>37</v>
      </c>
      <c r="B72" s="215">
        <v>36</v>
      </c>
      <c r="C72" s="85" t="str">
        <f>IFERROR(VLOOKUP(J72,Tabla_Items,2,FALSE),G72)</f>
        <v>Pérgolas (Frente y Fondo)  - Incluye Base de Hormigón Simple H 13</v>
      </c>
      <c r="D72" s="183" t="str">
        <f>IFERROR(VLOOKUP(J72,Tabla_Items,2,FALSE),H72)</f>
        <v>gl</v>
      </c>
      <c r="E72" s="134"/>
      <c r="F72" s="180"/>
      <c r="G72" s="179" t="s">
        <v>1346</v>
      </c>
      <c r="H72" s="184" t="s">
        <v>3</v>
      </c>
      <c r="I72" s="171"/>
      <c r="J72" s="179"/>
    </row>
    <row r="73" spans="1:10" x14ac:dyDescent="0.2">
      <c r="A73" s="216">
        <f t="shared" si="0"/>
        <v>38</v>
      </c>
      <c r="B73" s="215">
        <v>37</v>
      </c>
      <c r="C73" s="85" t="str">
        <f>IFERROR(VLOOKUP(J73,Tabla_Items,2,FALSE),G73)</f>
        <v xml:space="preserve">Instalación sanitaria (incl. cañería base, distrib. AF-AC, artefactos y grifería) </v>
      </c>
      <c r="D73" s="183" t="str">
        <f>IFERROR(VLOOKUP(J73,Tabla_Items,2,FALSE),H73)</f>
        <v>gl</v>
      </c>
      <c r="E73" s="134"/>
      <c r="F73" s="180"/>
      <c r="G73" s="179" t="s">
        <v>1347</v>
      </c>
      <c r="H73" s="184" t="s">
        <v>3</v>
      </c>
      <c r="I73" s="171"/>
      <c r="J73" s="179"/>
    </row>
    <row r="74" spans="1:10" x14ac:dyDescent="0.2">
      <c r="A74" s="216">
        <f t="shared" si="0"/>
        <v>39</v>
      </c>
      <c r="B74" s="215" t="s">
        <v>1353</v>
      </c>
      <c r="C74" s="85" t="str">
        <f>IFERROR(VLOOKUP(J74,Tabla_Items,2,FALSE),G74)</f>
        <v xml:space="preserve">Instalación sanitaria p/ disc.(incl. cañería base, distrib. AF-AC, artefactos y grifería) </v>
      </c>
      <c r="D74" s="183" t="str">
        <f>IFERROR(VLOOKUP(J74,Tabla_Items,2,FALSE),H74)</f>
        <v>gl</v>
      </c>
      <c r="E74" s="134"/>
      <c r="F74" s="180"/>
      <c r="G74" s="179" t="s">
        <v>1348</v>
      </c>
      <c r="H74" s="184" t="s">
        <v>3</v>
      </c>
      <c r="I74" s="171"/>
      <c r="J74" s="179"/>
    </row>
    <row r="75" spans="1:10" x14ac:dyDescent="0.2">
      <c r="A75" s="216">
        <f t="shared" si="0"/>
        <v>40</v>
      </c>
      <c r="B75" s="215">
        <v>38</v>
      </c>
      <c r="C75" s="85" t="str">
        <f>IFERROR(VLOOKUP(J75,Tabla_Items,2,FALSE),G75)</f>
        <v>Calefón Solar - Termosifónico - Captador por tubo de vacío</v>
      </c>
      <c r="D75" s="183" t="str">
        <f>IFERROR(VLOOKUP(J75,Tabla_Items,2,FALSE),H75)</f>
        <v>u</v>
      </c>
      <c r="E75" s="134"/>
      <c r="F75" s="180"/>
      <c r="G75" s="179" t="s">
        <v>1349</v>
      </c>
      <c r="H75" s="184" t="s">
        <v>1147</v>
      </c>
      <c r="I75" s="171"/>
      <c r="J75" s="179"/>
    </row>
    <row r="76" spans="1:10" x14ac:dyDescent="0.2">
      <c r="A76" s="216">
        <f t="shared" si="0"/>
        <v>41</v>
      </c>
      <c r="B76" s="215">
        <v>39</v>
      </c>
      <c r="C76" s="85" t="str">
        <f>IFERROR(VLOOKUP(J76,Tabla_Items,2,FALSE),G76)</f>
        <v>Instalación de Gas (Incl. Cocina 4 hornallas c/horno)</v>
      </c>
      <c r="D76" s="183" t="str">
        <f>IFERROR(VLOOKUP(J76,Tabla_Items,2,FALSE),H76)</f>
        <v>gl</v>
      </c>
      <c r="E76" s="134"/>
      <c r="F76" s="180"/>
      <c r="G76" s="179" t="s">
        <v>1313</v>
      </c>
      <c r="H76" s="184" t="s">
        <v>3</v>
      </c>
      <c r="I76" s="171"/>
      <c r="J76" s="179"/>
    </row>
    <row r="77" spans="1:10" x14ac:dyDescent="0.2">
      <c r="A77" s="216">
        <f t="shared" si="0"/>
        <v>42</v>
      </c>
      <c r="B77" s="215">
        <v>40</v>
      </c>
      <c r="C77" s="85" t="str">
        <f>IFERROR(VLOOKUP(J77,Tabla_Items,2,FALSE),G77)</f>
        <v>Instalación de gas - Gabinete para tubos</v>
      </c>
      <c r="D77" s="183" t="str">
        <f>IFERROR(VLOOKUP(J77,Tabla_Items,2,FALSE),H77)</f>
        <v>u</v>
      </c>
      <c r="E77" s="134"/>
      <c r="F77" s="180"/>
      <c r="G77" s="179" t="s">
        <v>1350</v>
      </c>
      <c r="H77" s="184" t="s">
        <v>1147</v>
      </c>
      <c r="I77" s="171"/>
      <c r="J77" s="179"/>
    </row>
    <row r="78" spans="1:10" x14ac:dyDescent="0.2">
      <c r="A78" s="216">
        <f t="shared" si="0"/>
        <v>43</v>
      </c>
      <c r="B78" s="215">
        <v>41</v>
      </c>
      <c r="C78" s="85" t="str">
        <f>IFERROR(VLOOKUP(J78,Tabla_Items,2,FALSE),G78)</f>
        <v>Instalación eléctrica (incl.pilastra,proc.cañerias p/3AA,y preveer espacios en tablero gral. p/llaves termomagnéticas corresp. Portalámparas 3 cuerpos)</v>
      </c>
      <c r="D78" s="183" t="str">
        <f>IFERROR(VLOOKUP(J78,Tabla_Items,2,FALSE),H78)</f>
        <v>gl</v>
      </c>
      <c r="E78" s="134"/>
      <c r="F78" s="180"/>
      <c r="G78" s="179" t="s">
        <v>1351</v>
      </c>
      <c r="H78" s="184" t="s">
        <v>3</v>
      </c>
      <c r="I78" s="171"/>
      <c r="J78" s="179"/>
    </row>
    <row r="79" spans="1:10" x14ac:dyDescent="0.2">
      <c r="A79" s="216">
        <f t="shared" si="0"/>
        <v>44</v>
      </c>
      <c r="B79" s="215">
        <v>42</v>
      </c>
      <c r="C79" s="85" t="str">
        <f>IFERROR(VLOOKUP(J79,Tabla_Items,2,FALSE),G79)</f>
        <v>Terminación y limpieza de obra</v>
      </c>
      <c r="D79" s="183" t="str">
        <f>IFERROR(VLOOKUP(J79,Tabla_Items,2,FALSE),H79)</f>
        <v>gl</v>
      </c>
      <c r="E79" s="134"/>
      <c r="F79" s="180"/>
      <c r="G79" s="179" t="s">
        <v>1291</v>
      </c>
      <c r="H79" s="184" t="s">
        <v>3</v>
      </c>
      <c r="I79" s="171"/>
      <c r="J79" s="179"/>
    </row>
    <row r="80" spans="1:10" x14ac:dyDescent="0.2">
      <c r="A80" s="216">
        <f t="shared" si="0"/>
        <v>45</v>
      </c>
      <c r="B80" s="215">
        <v>43</v>
      </c>
      <c r="C80" s="463" t="str">
        <f>IFERROR(VLOOKUP(J80,Tabla_Items,2,FALSE),G80)</f>
        <v>Flete</v>
      </c>
      <c r="D80" s="215" t="str">
        <f>IFERROR(VLOOKUP(J80,Tabla_Items,2,FALSE),H80)</f>
        <v>gl</v>
      </c>
      <c r="E80" s="134"/>
      <c r="F80" s="180"/>
      <c r="G80" s="179" t="s">
        <v>1278</v>
      </c>
      <c r="H80" s="184" t="s">
        <v>3</v>
      </c>
      <c r="I80" s="171"/>
      <c r="J80" s="179"/>
    </row>
    <row r="81" spans="1:10" x14ac:dyDescent="0.2">
      <c r="A81" s="216">
        <f t="shared" si="0"/>
        <v>45</v>
      </c>
      <c r="B81" s="311" t="s">
        <v>1126</v>
      </c>
      <c r="C81" s="310" t="str">
        <f>IFERROR(VLOOKUP(J81,Tabla_Items,2,FALSE),G81)</f>
        <v>INFRAESTRUCTURA</v>
      </c>
      <c r="D81" s="274"/>
      <c r="E81" s="134"/>
      <c r="F81" s="180"/>
      <c r="G81" s="137" t="s">
        <v>1135</v>
      </c>
      <c r="H81" s="462"/>
      <c r="I81" s="171"/>
      <c r="J81" s="179"/>
    </row>
    <row r="82" spans="1:10" x14ac:dyDescent="0.2">
      <c r="A82" s="216">
        <f t="shared" si="0"/>
        <v>46</v>
      </c>
      <c r="B82" s="215">
        <v>44</v>
      </c>
      <c r="C82" s="85" t="str">
        <f>IFERROR(VLOOKUP(J82,Tabla_Items,2,FALSE),G82)</f>
        <v xml:space="preserve">Limpieza de Terreno, destronques y erradicación de árboles </v>
      </c>
      <c r="D82" s="183" t="str">
        <f>IFERROR(VLOOKUP(J82,Tabla_Items,2,FALSE),H82)</f>
        <v>ha</v>
      </c>
      <c r="E82" s="134"/>
      <c r="F82" s="180"/>
      <c r="G82" s="179" t="s">
        <v>1357</v>
      </c>
      <c r="H82" s="473" t="s">
        <v>1304</v>
      </c>
      <c r="I82" s="171"/>
      <c r="J82" s="179"/>
    </row>
    <row r="83" spans="1:10" x14ac:dyDescent="0.2">
      <c r="A83" s="216">
        <f t="shared" si="0"/>
        <v>47</v>
      </c>
      <c r="B83" s="215">
        <v>45</v>
      </c>
      <c r="C83" s="85" t="str">
        <f>IFERROR(VLOOKUP(J83,Tabla_Items,2,FALSE),G83)</f>
        <v>Excavación no Clasificada</v>
      </c>
      <c r="D83" s="183" t="str">
        <f>IFERROR(VLOOKUP(J83,Tabla_Items,2,FALSE),H83)</f>
        <v>m3</v>
      </c>
      <c r="E83" s="134"/>
      <c r="F83" s="180"/>
      <c r="G83" s="179" t="s">
        <v>1358</v>
      </c>
      <c r="H83" s="473" t="s">
        <v>4</v>
      </c>
      <c r="I83" s="171"/>
      <c r="J83" s="179"/>
    </row>
    <row r="84" spans="1:10" x14ac:dyDescent="0.2">
      <c r="A84" s="216">
        <f t="shared" si="0"/>
        <v>48</v>
      </c>
      <c r="B84" s="215">
        <v>46</v>
      </c>
      <c r="C84" s="85" t="str">
        <f>IFERROR(VLOOKUP(J84,Tabla_Items,2,FALSE),G84)</f>
        <v>Ejecución de base (0,25)</v>
      </c>
      <c r="D84" s="183" t="str">
        <f>IFERROR(VLOOKUP(J84,Tabla_Items,2,FALSE),H84)</f>
        <v>m3</v>
      </c>
      <c r="E84" s="134"/>
      <c r="F84" s="180"/>
      <c r="G84" s="179" t="s">
        <v>1359</v>
      </c>
      <c r="H84" s="473" t="s">
        <v>4</v>
      </c>
      <c r="I84" s="171"/>
      <c r="J84" s="179"/>
    </row>
    <row r="85" spans="1:10" x14ac:dyDescent="0.2">
      <c r="A85" s="216">
        <f t="shared" si="0"/>
        <v>49</v>
      </c>
      <c r="B85" s="215">
        <v>47</v>
      </c>
      <c r="C85" s="85" t="str">
        <f t="shared" ref="C85:C99" si="9">IFERROR(VLOOKUP(J85,Tabla_Items,2,FALSE),G85)</f>
        <v>Ejecución de cunetas en tierra</v>
      </c>
      <c r="D85" s="183" t="str">
        <f t="shared" ref="D85:D99" si="10">IFERROR(VLOOKUP(J85,Tabla_Items,2,FALSE),H85)</f>
        <v>ml</v>
      </c>
      <c r="E85" s="134"/>
      <c r="F85" s="180"/>
      <c r="G85" s="179" t="s">
        <v>1360</v>
      </c>
      <c r="H85" s="473" t="s">
        <v>724</v>
      </c>
      <c r="I85" s="171"/>
      <c r="J85" s="179"/>
    </row>
    <row r="86" spans="1:10" x14ac:dyDescent="0.2">
      <c r="A86" s="216">
        <f t="shared" si="0"/>
        <v>50</v>
      </c>
      <c r="B86" s="215">
        <v>48</v>
      </c>
      <c r="C86" s="85" t="str">
        <f t="shared" si="9"/>
        <v>Arbolado Público</v>
      </c>
      <c r="D86" s="183" t="str">
        <f t="shared" si="10"/>
        <v>u</v>
      </c>
      <c r="E86" s="134"/>
      <c r="F86" s="180"/>
      <c r="G86" s="179" t="s">
        <v>1361</v>
      </c>
      <c r="H86" s="473" t="s">
        <v>1147</v>
      </c>
      <c r="I86" s="171"/>
      <c r="J86" s="179"/>
    </row>
    <row r="87" spans="1:10" x14ac:dyDescent="0.2">
      <c r="A87" s="216">
        <f t="shared" si="0"/>
        <v>51</v>
      </c>
      <c r="B87" s="215">
        <v>49</v>
      </c>
      <c r="C87" s="85" t="str">
        <f>IFERROR(VLOOKUP(J87,Tabla_Items,2,FALSE),G87)</f>
        <v>Ejecuciòn de Veredas Municipales</v>
      </c>
      <c r="D87" s="183" t="str">
        <f>IFERROR(VLOOKUP(J87,Tabla_Items,2,FALSE),H87)</f>
        <v>m2</v>
      </c>
      <c r="E87" s="134"/>
      <c r="F87" s="180"/>
      <c r="G87" s="179" t="s">
        <v>1362</v>
      </c>
      <c r="H87" s="473" t="s">
        <v>5</v>
      </c>
      <c r="I87" s="171"/>
      <c r="J87" s="179"/>
    </row>
    <row r="88" spans="1:10" x14ac:dyDescent="0.2">
      <c r="A88" s="216">
        <f t="shared" si="0"/>
        <v>52</v>
      </c>
      <c r="B88" s="215">
        <v>50</v>
      </c>
      <c r="C88" s="85" t="str">
        <f t="shared" si="9"/>
        <v>Puentes Peatonales</v>
      </c>
      <c r="D88" s="183" t="str">
        <f t="shared" si="10"/>
        <v>u</v>
      </c>
      <c r="E88" s="134"/>
      <c r="F88" s="180"/>
      <c r="G88" s="179" t="s">
        <v>1363</v>
      </c>
      <c r="H88" s="473" t="s">
        <v>1147</v>
      </c>
      <c r="I88" s="171"/>
      <c r="J88" s="179"/>
    </row>
    <row r="89" spans="1:10" x14ac:dyDescent="0.2">
      <c r="A89" s="216">
        <f t="shared" si="0"/>
        <v>53</v>
      </c>
      <c r="B89" s="215">
        <v>51</v>
      </c>
      <c r="C89" s="85" t="str">
        <f>IFERROR(VLOOKUP(J89,Tabla_Items,2,FALSE),G89)</f>
        <v>Puentes de acceso Vehicular</v>
      </c>
      <c r="D89" s="183" t="str">
        <f>IFERROR(VLOOKUP(J89,Tabla_Items,2,FALSE),H89)</f>
        <v>u</v>
      </c>
      <c r="E89" s="134"/>
      <c r="F89" s="180"/>
      <c r="G89" s="179" t="s">
        <v>1364</v>
      </c>
      <c r="H89" s="473" t="s">
        <v>1147</v>
      </c>
      <c r="I89" s="171"/>
      <c r="J89" s="179"/>
    </row>
    <row r="90" spans="1:10" x14ac:dyDescent="0.2">
      <c r="A90" s="216">
        <f t="shared" si="0"/>
        <v>54</v>
      </c>
      <c r="B90" s="215">
        <v>52</v>
      </c>
      <c r="C90" s="85" t="str">
        <f t="shared" si="9"/>
        <v>Indicadores de Calles</v>
      </c>
      <c r="D90" s="183" t="str">
        <f t="shared" si="10"/>
        <v>u</v>
      </c>
      <c r="E90" s="134"/>
      <c r="F90" s="180"/>
      <c r="G90" s="179" t="s">
        <v>1365</v>
      </c>
      <c r="H90" s="184" t="s">
        <v>1147</v>
      </c>
      <c r="I90" s="171"/>
      <c r="J90" s="179"/>
    </row>
    <row r="91" spans="1:10" x14ac:dyDescent="0.2">
      <c r="A91" s="216">
        <f t="shared" si="0"/>
        <v>55</v>
      </c>
      <c r="B91" s="215">
        <v>53</v>
      </c>
      <c r="C91" s="85" t="str">
        <f>IFERROR(VLOOKUP(J91,Tabla_Items,2,FALSE),G91)</f>
        <v>Vértices de Lotes</v>
      </c>
      <c r="D91" s="183" t="str">
        <f>IFERROR(VLOOKUP(J91,Tabla_Items,2,FALSE),H91)</f>
        <v>u</v>
      </c>
      <c r="E91" s="134"/>
      <c r="F91" s="180"/>
      <c r="G91" s="179" t="s">
        <v>1366</v>
      </c>
      <c r="H91" s="184" t="s">
        <v>1147</v>
      </c>
      <c r="I91" s="171"/>
      <c r="J91" s="179"/>
    </row>
    <row r="92" spans="1:10" x14ac:dyDescent="0.2">
      <c r="A92" s="216">
        <f t="shared" si="0"/>
        <v>56</v>
      </c>
      <c r="B92" s="215">
        <v>54</v>
      </c>
      <c r="C92" s="85" t="str">
        <f>IFERROR(VLOOKUP(J92,Tabla_Items,2,FALSE),G92)</f>
        <v>Espacio Verde 2</v>
      </c>
      <c r="D92" s="183" t="str">
        <f>IFERROR(VLOOKUP(J92,Tabla_Items,2,FALSE),H92)</f>
        <v>gl</v>
      </c>
      <c r="E92" s="134"/>
      <c r="F92" s="180"/>
      <c r="G92" s="179" t="s">
        <v>1369</v>
      </c>
      <c r="H92" s="184" t="s">
        <v>3</v>
      </c>
      <c r="I92" s="171"/>
      <c r="J92" s="179"/>
    </row>
    <row r="93" spans="1:10" x14ac:dyDescent="0.2">
      <c r="A93" s="216">
        <f t="shared" si="0"/>
        <v>57</v>
      </c>
      <c r="B93" s="215">
        <v>55</v>
      </c>
      <c r="C93" s="85" t="str">
        <f>IFERROR(VLOOKUP(J93,Tabla_Items,2,FALSE),G93)</f>
        <v>Alumbrado Público</v>
      </c>
      <c r="D93" s="183" t="str">
        <f>IFERROR(VLOOKUP(J93,Tabla_Items,2,FALSE),H93)</f>
        <v>gl</v>
      </c>
      <c r="E93" s="134"/>
      <c r="F93" s="180"/>
      <c r="G93" s="179" t="s">
        <v>1241</v>
      </c>
      <c r="H93" s="184" t="s">
        <v>3</v>
      </c>
      <c r="I93" s="171"/>
      <c r="J93" s="179"/>
    </row>
    <row r="94" spans="1:10" x14ac:dyDescent="0.2">
      <c r="A94" s="216">
        <f t="shared" si="0"/>
        <v>58</v>
      </c>
      <c r="B94" s="215">
        <v>56</v>
      </c>
      <c r="C94" s="85" t="str">
        <f t="shared" si="9"/>
        <v>Alumbrado Espacio Verde 2</v>
      </c>
      <c r="D94" s="183" t="str">
        <f t="shared" si="10"/>
        <v>gl</v>
      </c>
      <c r="E94" s="134"/>
      <c r="F94" s="180"/>
      <c r="G94" s="179" t="s">
        <v>1370</v>
      </c>
      <c r="H94" s="184" t="s">
        <v>3</v>
      </c>
      <c r="I94" s="171"/>
      <c r="J94" s="179"/>
    </row>
    <row r="95" spans="1:10" x14ac:dyDescent="0.2">
      <c r="A95" s="216">
        <f t="shared" si="0"/>
        <v>59</v>
      </c>
      <c r="B95" s="215">
        <v>57</v>
      </c>
      <c r="C95" s="85" t="str">
        <f t="shared" si="9"/>
        <v>Red de cloacas - Provisión, acarreo y colocación de caño de PVC RCP ø160 mm, incl. piezas esp. juntas, etc.</v>
      </c>
      <c r="D95" s="183" t="str">
        <f t="shared" si="10"/>
        <v>m</v>
      </c>
      <c r="E95" s="134"/>
      <c r="F95" s="180"/>
      <c r="G95" s="179" t="s">
        <v>1279</v>
      </c>
      <c r="H95" s="184" t="s">
        <v>1234</v>
      </c>
      <c r="I95" s="171"/>
      <c r="J95" s="179"/>
    </row>
    <row r="96" spans="1:10" x14ac:dyDescent="0.2">
      <c r="A96" s="216">
        <f t="shared" si="0"/>
        <v>60</v>
      </c>
      <c r="B96" s="215">
        <v>58</v>
      </c>
      <c r="C96" s="85" t="str">
        <f t="shared" si="9"/>
        <v xml:space="preserve">Red de cloacas - Provisión, acarreo y coloc. materiales  p/la ejecución de Bocas de Registros s/calle, incl. tapa de HF, etc. </v>
      </c>
      <c r="D96" s="183" t="str">
        <f t="shared" si="10"/>
        <v>u</v>
      </c>
      <c r="E96" s="134"/>
      <c r="F96" s="180"/>
      <c r="G96" s="179" t="s">
        <v>1280</v>
      </c>
      <c r="H96" s="184" t="s">
        <v>1147</v>
      </c>
      <c r="I96" s="171"/>
      <c r="J96" s="179"/>
    </row>
    <row r="97" spans="1:10" x14ac:dyDescent="0.2">
      <c r="A97" s="216">
        <f t="shared" si="0"/>
        <v>61</v>
      </c>
      <c r="B97" s="215">
        <v>59</v>
      </c>
      <c r="C97" s="85" t="str">
        <f t="shared" si="9"/>
        <v>Red de cloacas - Excavación de zanjas para inst. cañeías, sin depresión de napa</v>
      </c>
      <c r="D97" s="183" t="str">
        <f t="shared" si="10"/>
        <v>m3</v>
      </c>
      <c r="E97" s="134"/>
      <c r="F97" s="180"/>
      <c r="G97" s="179" t="s">
        <v>1281</v>
      </c>
      <c r="H97" s="184" t="s">
        <v>4</v>
      </c>
      <c r="I97" s="171"/>
      <c r="J97" s="179"/>
    </row>
    <row r="98" spans="1:10" x14ac:dyDescent="0.2">
      <c r="A98" s="216">
        <f t="shared" si="0"/>
        <v>62</v>
      </c>
      <c r="B98" s="215">
        <v>60</v>
      </c>
      <c r="C98" s="85" t="str">
        <f t="shared" si="9"/>
        <v>Red de cloacas - Paquete estructural</v>
      </c>
      <c r="D98" s="183" t="str">
        <f t="shared" si="10"/>
        <v>m3</v>
      </c>
      <c r="E98" s="134"/>
      <c r="F98" s="180"/>
      <c r="G98" s="179" t="s">
        <v>1282</v>
      </c>
      <c r="H98" s="184" t="s">
        <v>4</v>
      </c>
      <c r="I98" s="171"/>
      <c r="J98" s="179"/>
    </row>
    <row r="99" spans="1:10" x14ac:dyDescent="0.2">
      <c r="A99" s="216">
        <f t="shared" si="0"/>
        <v>63</v>
      </c>
      <c r="B99" s="215">
        <v>61</v>
      </c>
      <c r="C99" s="85" t="str">
        <f t="shared" si="9"/>
        <v>Red de cloacas - Relleno superior</v>
      </c>
      <c r="D99" s="183" t="str">
        <f t="shared" si="10"/>
        <v>m3</v>
      </c>
      <c r="E99" s="134"/>
      <c r="F99" s="180"/>
      <c r="G99" s="179" t="s">
        <v>1283</v>
      </c>
      <c r="H99" s="184" t="s">
        <v>4</v>
      </c>
      <c r="I99" s="171"/>
      <c r="J99" s="179"/>
    </row>
    <row r="100" spans="1:10" x14ac:dyDescent="0.2">
      <c r="A100" s="216">
        <f t="shared" ref="A100:A109" si="11">IF(D100=0,A99,A99+1)</f>
        <v>64</v>
      </c>
      <c r="B100" s="215">
        <v>62</v>
      </c>
      <c r="C100" s="85" t="str">
        <f t="shared" ref="C100:C113" si="12">IFERROR(VLOOKUP(J100,Tabla_Items,2,FALSE),G100)</f>
        <v>Red de cloacas - Conexiones domiciliarias cloacas (Provisión, acarreo y coloc. materiales p/la ejecución s/red nueva)</v>
      </c>
      <c r="D100" s="183" t="str">
        <f t="shared" ref="D100:D113" si="13">IFERROR(VLOOKUP(J100,Tabla_Items,2,FALSE),H100)</f>
        <v>u</v>
      </c>
      <c r="E100" s="134"/>
      <c r="F100" s="180"/>
      <c r="G100" s="179" t="s">
        <v>1367</v>
      </c>
      <c r="H100" s="184" t="s">
        <v>1147</v>
      </c>
      <c r="I100" s="171"/>
      <c r="J100" s="179"/>
    </row>
    <row r="101" spans="1:10" x14ac:dyDescent="0.2">
      <c r="A101" s="216">
        <f t="shared" si="11"/>
        <v>65</v>
      </c>
      <c r="B101" s="215">
        <v>63</v>
      </c>
      <c r="C101" s="85" t="str">
        <f t="shared" si="12"/>
        <v>Red de agua potable - Provisión, acarreo y colocación de caño recto Ø110mm de PVC k-10, incl. piezas esp. juntas, etc.</v>
      </c>
      <c r="D101" s="183" t="str">
        <f t="shared" si="13"/>
        <v>ml</v>
      </c>
      <c r="E101" s="134"/>
      <c r="F101" s="180"/>
      <c r="G101" s="179" t="s">
        <v>1314</v>
      </c>
      <c r="H101" s="184" t="s">
        <v>724</v>
      </c>
      <c r="I101" s="171"/>
      <c r="J101" s="179"/>
    </row>
    <row r="102" spans="1:10" x14ac:dyDescent="0.2">
      <c r="A102" s="216">
        <f t="shared" si="11"/>
        <v>66</v>
      </c>
      <c r="B102" s="215">
        <v>64</v>
      </c>
      <c r="C102" s="85" t="str">
        <f t="shared" si="12"/>
        <v>Red de agua potable - Provisión, acarreo y colocación de hidrantes a bola, completos, (Incluye caja de HF y Const. de cámara)</v>
      </c>
      <c r="D102" s="183" t="str">
        <f t="shared" si="13"/>
        <v>u</v>
      </c>
      <c r="E102" s="134"/>
      <c r="F102" s="180"/>
      <c r="G102" s="179" t="s">
        <v>1284</v>
      </c>
      <c r="H102" s="184" t="s">
        <v>1147</v>
      </c>
      <c r="I102" s="171"/>
      <c r="J102" s="179"/>
    </row>
    <row r="103" spans="1:10" x14ac:dyDescent="0.2">
      <c r="A103" s="216">
        <f t="shared" si="11"/>
        <v>67</v>
      </c>
      <c r="B103" s="215">
        <v>65</v>
      </c>
      <c r="C103" s="85" t="str">
        <f t="shared" si="12"/>
        <v>Red de agua potable - Excavación de zanjas para inst. cañeías, sin depresión de napa</v>
      </c>
      <c r="D103" s="183" t="str">
        <f t="shared" si="13"/>
        <v>m3</v>
      </c>
      <c r="E103" s="134"/>
      <c r="F103" s="180"/>
      <c r="G103" s="179" t="s">
        <v>1285</v>
      </c>
      <c r="H103" s="184" t="s">
        <v>4</v>
      </c>
      <c r="I103" s="171"/>
      <c r="J103" s="179"/>
    </row>
    <row r="104" spans="1:10" x14ac:dyDescent="0.2">
      <c r="A104" s="216">
        <f t="shared" si="11"/>
        <v>68</v>
      </c>
      <c r="B104" s="215">
        <v>66</v>
      </c>
      <c r="C104" s="85" t="str">
        <f t="shared" si="12"/>
        <v>Red de agua potable - Paquete estructural</v>
      </c>
      <c r="D104" s="183" t="str">
        <f t="shared" si="13"/>
        <v>m3</v>
      </c>
      <c r="E104" s="134"/>
      <c r="F104" s="180"/>
      <c r="G104" s="179" t="s">
        <v>1286</v>
      </c>
      <c r="H104" s="184" t="s">
        <v>4</v>
      </c>
      <c r="I104" s="171"/>
      <c r="J104" s="179"/>
    </row>
    <row r="105" spans="1:10" x14ac:dyDescent="0.2">
      <c r="A105" s="216">
        <f t="shared" si="11"/>
        <v>69</v>
      </c>
      <c r="B105" s="215">
        <v>67</v>
      </c>
      <c r="C105" s="85" t="str">
        <f t="shared" si="12"/>
        <v xml:space="preserve">Red de agua potable - Relleno superior </v>
      </c>
      <c r="D105" s="183" t="str">
        <f t="shared" si="13"/>
        <v>m3</v>
      </c>
      <c r="E105" s="134"/>
      <c r="F105" s="180"/>
      <c r="G105" s="179" t="s">
        <v>1287</v>
      </c>
      <c r="H105" s="184" t="s">
        <v>4</v>
      </c>
      <c r="I105" s="171"/>
      <c r="J105" s="179"/>
    </row>
    <row r="106" spans="1:10" x14ac:dyDescent="0.2">
      <c r="A106" s="216">
        <f t="shared" si="11"/>
        <v>70</v>
      </c>
      <c r="B106" s="215">
        <v>68</v>
      </c>
      <c r="C106" s="85" t="str">
        <f t="shared" si="12"/>
        <v>Red de agua potable - Conexiones domiciliarias agua potable (Provisión, acarreo y coloc. mat. polietileno k10-abrazadera, férula, llave maestra y medidor de caudal, incl UV)</v>
      </c>
      <c r="D106" s="183" t="str">
        <f t="shared" si="13"/>
        <v>u</v>
      </c>
      <c r="E106" s="134"/>
      <c r="F106" s="180"/>
      <c r="G106" s="179" t="s">
        <v>1288</v>
      </c>
      <c r="H106" s="184" t="s">
        <v>1147</v>
      </c>
      <c r="I106" s="171"/>
      <c r="J106" s="179"/>
    </row>
    <row r="107" spans="1:10" x14ac:dyDescent="0.2">
      <c r="A107" s="216">
        <f t="shared" si="11"/>
        <v>71</v>
      </c>
      <c r="B107" s="215">
        <v>69</v>
      </c>
      <c r="C107" s="85" t="str">
        <f t="shared" si="12"/>
        <v>Documentación final de obra (minimo 3% Monto Total de la Obra)</v>
      </c>
      <c r="D107" s="183" t="str">
        <f t="shared" si="13"/>
        <v>gl</v>
      </c>
      <c r="E107" s="134"/>
      <c r="F107" s="180"/>
      <c r="G107" s="179" t="s">
        <v>1371</v>
      </c>
      <c r="H107" s="184" t="s">
        <v>3</v>
      </c>
      <c r="I107" s="171"/>
      <c r="J107" s="179"/>
    </row>
    <row r="108" spans="1:10" x14ac:dyDescent="0.2">
      <c r="A108" s="216">
        <f t="shared" si="11"/>
        <v>71</v>
      </c>
      <c r="B108" s="592" t="s">
        <v>1315</v>
      </c>
      <c r="C108" s="310" t="str">
        <f>IFERROR(VLOOKUP(J108,Tabla_Items,2,FALSE),G108)</f>
        <v>OBRAS COMPLEMENTARIAS</v>
      </c>
      <c r="D108" s="274">
        <f>IFERROR(VLOOKUP(J108,Tabla_Items,2,FALSE),H108)</f>
        <v>0</v>
      </c>
      <c r="E108" s="134"/>
      <c r="F108" s="180"/>
      <c r="G108" s="137" t="s">
        <v>1225</v>
      </c>
      <c r="H108" s="462"/>
      <c r="I108" s="171"/>
      <c r="J108" s="179"/>
    </row>
    <row r="109" spans="1:10" x14ac:dyDescent="0.2">
      <c r="A109" s="216">
        <f t="shared" si="11"/>
        <v>72</v>
      </c>
      <c r="B109" s="215">
        <v>70</v>
      </c>
      <c r="C109" s="85" t="str">
        <f>IFERROR(VLOOKUP(J109,Tabla_Items,2,FALSE),G109)</f>
        <v>Obras Complementarias - Cierre Perimetral</v>
      </c>
      <c r="D109" s="183" t="str">
        <f>IFERROR(VLOOKUP(J109,Tabla_Items,2,FALSE),H109)</f>
        <v>ml</v>
      </c>
      <c r="E109" s="134"/>
      <c r="F109" s="180"/>
      <c r="G109" s="590" t="s">
        <v>1368</v>
      </c>
      <c r="H109" s="591" t="s">
        <v>724</v>
      </c>
      <c r="I109" s="171"/>
      <c r="J109" s="179"/>
    </row>
    <row r="110" spans="1:10" x14ac:dyDescent="0.2">
      <c r="A110" s="216">
        <f t="shared" ref="A110:A119" si="14">IF(D110=0,A109,A109+1)</f>
        <v>72</v>
      </c>
      <c r="B110" s="215"/>
      <c r="C110" s="85">
        <f t="shared" si="12"/>
        <v>0</v>
      </c>
      <c r="D110" s="183">
        <f t="shared" si="13"/>
        <v>0</v>
      </c>
      <c r="E110" s="134"/>
      <c r="F110" s="180"/>
      <c r="G110" s="179"/>
      <c r="H110" s="184"/>
      <c r="I110" s="171"/>
      <c r="J110" s="179"/>
    </row>
    <row r="111" spans="1:10" x14ac:dyDescent="0.2">
      <c r="A111" s="216">
        <f t="shared" si="14"/>
        <v>72</v>
      </c>
      <c r="B111" s="215"/>
      <c r="C111" s="85">
        <f t="shared" si="12"/>
        <v>0</v>
      </c>
      <c r="D111" s="183">
        <f t="shared" si="13"/>
        <v>0</v>
      </c>
      <c r="E111" s="134"/>
      <c r="F111" s="180"/>
      <c r="G111" s="179"/>
      <c r="H111" s="184"/>
      <c r="I111" s="171"/>
      <c r="J111" s="179"/>
    </row>
    <row r="112" spans="1:10" x14ac:dyDescent="0.2">
      <c r="A112" s="216">
        <f t="shared" si="14"/>
        <v>72</v>
      </c>
      <c r="B112" s="215"/>
      <c r="C112" s="85">
        <f t="shared" si="12"/>
        <v>0</v>
      </c>
      <c r="D112" s="183">
        <f t="shared" si="13"/>
        <v>0</v>
      </c>
      <c r="E112" s="134"/>
      <c r="F112" s="180"/>
      <c r="G112" s="179"/>
      <c r="H112" s="184"/>
      <c r="I112" s="171"/>
      <c r="J112" s="179"/>
    </row>
    <row r="113" spans="1:10" x14ac:dyDescent="0.2">
      <c r="A113" s="216">
        <f t="shared" si="14"/>
        <v>72</v>
      </c>
      <c r="B113" s="215"/>
      <c r="C113" s="85">
        <f t="shared" si="12"/>
        <v>0</v>
      </c>
      <c r="D113" s="183">
        <f t="shared" si="13"/>
        <v>0</v>
      </c>
      <c r="E113" s="134"/>
      <c r="F113" s="180"/>
      <c r="G113" s="179"/>
      <c r="H113" s="184"/>
      <c r="I113" s="171"/>
      <c r="J113" s="179"/>
    </row>
    <row r="114" spans="1:10" x14ac:dyDescent="0.2">
      <c r="A114" s="216">
        <f t="shared" si="14"/>
        <v>72</v>
      </c>
      <c r="B114" s="215"/>
      <c r="C114" s="85">
        <f t="shared" ref="C114:C135" si="15">IFERROR(VLOOKUP(J114,Tabla_Items,2,FALSE),G114)</f>
        <v>0</v>
      </c>
      <c r="D114" s="183">
        <f t="shared" ref="D114:D135" si="16">IFERROR(VLOOKUP(J114,Tabla_Items,2,FALSE),H114)</f>
        <v>0</v>
      </c>
      <c r="E114" s="134"/>
      <c r="F114" s="180"/>
      <c r="G114" s="179"/>
      <c r="H114" s="184"/>
      <c r="I114" s="171"/>
      <c r="J114" s="179"/>
    </row>
    <row r="115" spans="1:10" x14ac:dyDescent="0.2">
      <c r="A115" s="216">
        <f t="shared" si="14"/>
        <v>72</v>
      </c>
      <c r="B115" s="215"/>
      <c r="C115" s="85">
        <f t="shared" si="15"/>
        <v>0</v>
      </c>
      <c r="D115" s="183">
        <f t="shared" si="16"/>
        <v>0</v>
      </c>
      <c r="E115" s="134"/>
      <c r="F115" s="180"/>
      <c r="G115" s="179"/>
      <c r="H115" s="184"/>
      <c r="I115" s="171"/>
      <c r="J115" s="179"/>
    </row>
    <row r="116" spans="1:10" x14ac:dyDescent="0.2">
      <c r="A116" s="216">
        <f t="shared" si="14"/>
        <v>72</v>
      </c>
      <c r="B116" s="215"/>
      <c r="C116" s="85">
        <f t="shared" si="15"/>
        <v>0</v>
      </c>
      <c r="D116" s="183">
        <f t="shared" si="16"/>
        <v>0</v>
      </c>
      <c r="E116" s="134"/>
      <c r="F116" s="180"/>
      <c r="G116" s="179"/>
      <c r="H116" s="184"/>
      <c r="I116" s="171"/>
      <c r="J116" s="179"/>
    </row>
    <row r="117" spans="1:10" x14ac:dyDescent="0.2">
      <c r="A117" s="216">
        <f t="shared" si="14"/>
        <v>72</v>
      </c>
      <c r="B117" s="215"/>
      <c r="C117" s="85">
        <f t="shared" si="15"/>
        <v>0</v>
      </c>
      <c r="D117" s="183">
        <f t="shared" si="16"/>
        <v>0</v>
      </c>
      <c r="E117" s="134"/>
      <c r="F117" s="180"/>
      <c r="G117" s="179"/>
      <c r="H117" s="184"/>
      <c r="I117" s="171"/>
      <c r="J117" s="179"/>
    </row>
    <row r="118" spans="1:10" x14ac:dyDescent="0.2">
      <c r="A118" s="216">
        <f t="shared" si="14"/>
        <v>72</v>
      </c>
      <c r="B118" s="215"/>
      <c r="C118" s="85">
        <f t="shared" si="15"/>
        <v>0</v>
      </c>
      <c r="D118" s="183">
        <f t="shared" si="16"/>
        <v>0</v>
      </c>
      <c r="E118" s="134"/>
      <c r="F118" s="180"/>
      <c r="G118" s="179"/>
      <c r="H118" s="184"/>
      <c r="I118" s="171"/>
      <c r="J118" s="179"/>
    </row>
    <row r="119" spans="1:10" x14ac:dyDescent="0.2">
      <c r="A119" s="216">
        <f t="shared" si="14"/>
        <v>72</v>
      </c>
      <c r="B119" s="215"/>
      <c r="C119" s="85">
        <f t="shared" si="15"/>
        <v>0</v>
      </c>
      <c r="D119" s="183">
        <f t="shared" si="16"/>
        <v>0</v>
      </c>
      <c r="E119" s="134"/>
      <c r="F119" s="180"/>
      <c r="G119" s="179"/>
      <c r="H119" s="184"/>
      <c r="I119" s="171"/>
      <c r="J119" s="179"/>
    </row>
    <row r="120" spans="1:10" x14ac:dyDescent="0.2">
      <c r="A120" s="216">
        <f t="shared" ref="A120:A135" si="17">IF(D120=0,A119,A119+1)</f>
        <v>72</v>
      </c>
      <c r="B120" s="215"/>
      <c r="C120" s="85">
        <f t="shared" si="15"/>
        <v>0</v>
      </c>
      <c r="D120" s="183">
        <f t="shared" si="16"/>
        <v>0</v>
      </c>
      <c r="E120" s="134"/>
      <c r="F120" s="180"/>
      <c r="G120" s="179"/>
      <c r="H120" s="184"/>
      <c r="I120" s="171"/>
      <c r="J120" s="179"/>
    </row>
    <row r="121" spans="1:10" x14ac:dyDescent="0.2">
      <c r="A121" s="216">
        <f t="shared" si="17"/>
        <v>72</v>
      </c>
      <c r="B121" s="215"/>
      <c r="C121" s="85">
        <f t="shared" si="15"/>
        <v>0</v>
      </c>
      <c r="D121" s="183">
        <f t="shared" si="16"/>
        <v>0</v>
      </c>
      <c r="E121" s="134"/>
      <c r="F121" s="180"/>
      <c r="G121" s="179"/>
      <c r="H121" s="184"/>
      <c r="I121" s="171"/>
      <c r="J121" s="179"/>
    </row>
    <row r="122" spans="1:10" x14ac:dyDescent="0.2">
      <c r="A122" s="216">
        <f t="shared" si="17"/>
        <v>72</v>
      </c>
      <c r="B122" s="215"/>
      <c r="C122" s="85">
        <f t="shared" si="15"/>
        <v>0</v>
      </c>
      <c r="D122" s="183">
        <f t="shared" si="16"/>
        <v>0</v>
      </c>
      <c r="E122" s="134"/>
      <c r="F122" s="180"/>
      <c r="G122" s="179"/>
      <c r="H122" s="184"/>
      <c r="I122" s="171"/>
      <c r="J122" s="179"/>
    </row>
    <row r="123" spans="1:10" x14ac:dyDescent="0.2">
      <c r="A123" s="216">
        <f t="shared" si="17"/>
        <v>72</v>
      </c>
      <c r="B123" s="215"/>
      <c r="C123" s="85">
        <f t="shared" si="15"/>
        <v>0</v>
      </c>
      <c r="D123" s="183">
        <f t="shared" si="16"/>
        <v>0</v>
      </c>
      <c r="E123" s="134"/>
      <c r="F123" s="180"/>
      <c r="G123" s="179"/>
      <c r="H123" s="184"/>
      <c r="I123" s="171"/>
      <c r="J123" s="179"/>
    </row>
    <row r="124" spans="1:10" x14ac:dyDescent="0.2">
      <c r="A124" s="216">
        <f t="shared" si="17"/>
        <v>72</v>
      </c>
      <c r="B124" s="215"/>
      <c r="C124" s="85">
        <f t="shared" si="15"/>
        <v>0</v>
      </c>
      <c r="D124" s="183">
        <f t="shared" si="16"/>
        <v>0</v>
      </c>
      <c r="E124" s="134"/>
      <c r="F124" s="180"/>
      <c r="G124" s="179"/>
      <c r="H124" s="184"/>
      <c r="I124" s="171"/>
      <c r="J124" s="179"/>
    </row>
    <row r="125" spans="1:10" x14ac:dyDescent="0.2">
      <c r="A125" s="216">
        <f t="shared" si="17"/>
        <v>72</v>
      </c>
      <c r="B125" s="215"/>
      <c r="C125" s="85">
        <f t="shared" si="15"/>
        <v>0</v>
      </c>
      <c r="D125" s="183">
        <f t="shared" si="16"/>
        <v>0</v>
      </c>
      <c r="E125" s="134"/>
      <c r="F125" s="180"/>
      <c r="G125" s="179"/>
      <c r="H125" s="184"/>
      <c r="I125" s="171"/>
      <c r="J125" s="179"/>
    </row>
    <row r="126" spans="1:10" x14ac:dyDescent="0.2">
      <c r="A126" s="216">
        <f t="shared" si="17"/>
        <v>72</v>
      </c>
      <c r="B126" s="215"/>
      <c r="C126" s="85">
        <f t="shared" si="15"/>
        <v>0</v>
      </c>
      <c r="D126" s="183">
        <f t="shared" si="16"/>
        <v>0</v>
      </c>
      <c r="E126" s="134"/>
      <c r="F126" s="180"/>
      <c r="G126" s="179"/>
      <c r="H126" s="184"/>
      <c r="I126" s="171"/>
      <c r="J126" s="179"/>
    </row>
    <row r="127" spans="1:10" x14ac:dyDescent="0.2">
      <c r="A127" s="216">
        <f t="shared" si="17"/>
        <v>72</v>
      </c>
      <c r="B127" s="215"/>
      <c r="C127" s="85">
        <f t="shared" si="15"/>
        <v>0</v>
      </c>
      <c r="D127" s="183">
        <f t="shared" si="16"/>
        <v>0</v>
      </c>
      <c r="E127" s="134"/>
      <c r="F127" s="180"/>
      <c r="G127" s="179"/>
      <c r="H127" s="184"/>
      <c r="I127" s="171"/>
      <c r="J127" s="179"/>
    </row>
    <row r="128" spans="1:10" x14ac:dyDescent="0.2">
      <c r="A128" s="216">
        <f t="shared" si="17"/>
        <v>72</v>
      </c>
      <c r="B128" s="215"/>
      <c r="C128" s="85">
        <f t="shared" si="15"/>
        <v>0</v>
      </c>
      <c r="D128" s="183">
        <f t="shared" si="16"/>
        <v>0</v>
      </c>
      <c r="E128" s="134"/>
      <c r="F128" s="180"/>
      <c r="G128" s="179"/>
      <c r="H128" s="184"/>
      <c r="I128" s="171"/>
      <c r="J128" s="179"/>
    </row>
    <row r="129" spans="1:10" x14ac:dyDescent="0.2">
      <c r="A129" s="216">
        <f t="shared" si="17"/>
        <v>72</v>
      </c>
      <c r="B129" s="215"/>
      <c r="C129" s="85">
        <f t="shared" si="15"/>
        <v>0</v>
      </c>
      <c r="D129" s="183">
        <f t="shared" si="16"/>
        <v>0</v>
      </c>
      <c r="E129" s="134"/>
      <c r="F129" s="180"/>
      <c r="G129" s="179"/>
      <c r="H129" s="184"/>
      <c r="I129" s="171"/>
      <c r="J129" s="179"/>
    </row>
    <row r="130" spans="1:10" x14ac:dyDescent="0.2">
      <c r="A130" s="216">
        <f t="shared" si="17"/>
        <v>72</v>
      </c>
      <c r="B130" s="215"/>
      <c r="C130" s="85">
        <f t="shared" si="15"/>
        <v>0</v>
      </c>
      <c r="D130" s="183">
        <f t="shared" si="16"/>
        <v>0</v>
      </c>
      <c r="E130" s="134"/>
      <c r="F130" s="180"/>
      <c r="G130" s="179"/>
      <c r="H130" s="184"/>
      <c r="I130" s="171"/>
      <c r="J130" s="179"/>
    </row>
    <row r="131" spans="1:10" x14ac:dyDescent="0.2">
      <c r="A131" s="216">
        <f t="shared" si="17"/>
        <v>72</v>
      </c>
      <c r="B131" s="215"/>
      <c r="C131" s="85">
        <f t="shared" si="15"/>
        <v>0</v>
      </c>
      <c r="D131" s="183">
        <f t="shared" si="16"/>
        <v>0</v>
      </c>
      <c r="E131" s="134"/>
      <c r="F131" s="180"/>
      <c r="G131" s="179"/>
      <c r="H131" s="184"/>
      <c r="I131" s="171"/>
      <c r="J131" s="179"/>
    </row>
    <row r="132" spans="1:10" x14ac:dyDescent="0.2">
      <c r="A132" s="216">
        <f t="shared" si="17"/>
        <v>72</v>
      </c>
      <c r="B132" s="215"/>
      <c r="C132" s="85">
        <f t="shared" si="15"/>
        <v>0</v>
      </c>
      <c r="D132" s="183">
        <f t="shared" si="16"/>
        <v>0</v>
      </c>
      <c r="E132" s="134"/>
      <c r="F132" s="180"/>
      <c r="G132" s="179"/>
      <c r="H132" s="184"/>
      <c r="I132" s="171"/>
      <c r="J132" s="179"/>
    </row>
    <row r="133" spans="1:10" x14ac:dyDescent="0.2">
      <c r="A133" s="216">
        <f t="shared" si="17"/>
        <v>72</v>
      </c>
      <c r="B133" s="215"/>
      <c r="C133" s="85">
        <f t="shared" si="15"/>
        <v>0</v>
      </c>
      <c r="D133" s="183">
        <f t="shared" si="16"/>
        <v>0</v>
      </c>
      <c r="E133" s="134"/>
      <c r="F133" s="180"/>
      <c r="G133" s="179"/>
      <c r="H133" s="184"/>
      <c r="I133" s="171"/>
      <c r="J133" s="179"/>
    </row>
    <row r="134" spans="1:10" x14ac:dyDescent="0.2">
      <c r="A134" s="216">
        <f t="shared" si="17"/>
        <v>72</v>
      </c>
      <c r="B134" s="215"/>
      <c r="C134" s="85">
        <f t="shared" si="15"/>
        <v>0</v>
      </c>
      <c r="D134" s="183">
        <f t="shared" si="16"/>
        <v>0</v>
      </c>
      <c r="E134" s="134"/>
      <c r="F134" s="180"/>
      <c r="G134" s="179"/>
      <c r="H134" s="184"/>
      <c r="I134" s="171"/>
      <c r="J134" s="179"/>
    </row>
    <row r="135" spans="1:10" x14ac:dyDescent="0.2">
      <c r="A135" s="216">
        <f t="shared" si="17"/>
        <v>72</v>
      </c>
      <c r="B135" s="215"/>
      <c r="C135" s="85">
        <f t="shared" si="15"/>
        <v>0</v>
      </c>
      <c r="D135" s="183">
        <f t="shared" si="16"/>
        <v>0</v>
      </c>
      <c r="E135" s="134"/>
      <c r="F135" s="180"/>
      <c r="G135" s="179"/>
      <c r="H135" s="184"/>
      <c r="I135" s="171"/>
      <c r="J135" s="179"/>
    </row>
    <row r="136" spans="1:10" x14ac:dyDescent="0.2">
      <c r="A136" s="216">
        <f t="shared" ref="A136:A199" si="18">IF(D136=0,A135,A135+1)</f>
        <v>72</v>
      </c>
      <c r="B136" s="215"/>
      <c r="C136" s="85">
        <f t="shared" ref="C136:C167" si="19">IFERROR(VLOOKUP(J136,Tabla_Items,2,FALSE),G136)</f>
        <v>0</v>
      </c>
      <c r="D136" s="183">
        <f t="shared" ref="D136:D167" si="20">IFERROR(VLOOKUP(J136,Tabla_Items,2,FALSE),H136)</f>
        <v>0</v>
      </c>
      <c r="E136" s="134"/>
      <c r="F136" s="180"/>
      <c r="G136" s="179"/>
      <c r="H136" s="184"/>
      <c r="I136" s="171"/>
      <c r="J136" s="179"/>
    </row>
    <row r="137" spans="1:10" x14ac:dyDescent="0.2">
      <c r="A137" s="216">
        <f t="shared" si="18"/>
        <v>72</v>
      </c>
      <c r="B137" s="215"/>
      <c r="C137" s="85">
        <f t="shared" si="19"/>
        <v>0</v>
      </c>
      <c r="D137" s="183">
        <f t="shared" si="20"/>
        <v>0</v>
      </c>
      <c r="E137" s="134"/>
      <c r="F137" s="180"/>
      <c r="G137" s="179"/>
      <c r="H137" s="184"/>
      <c r="I137" s="171"/>
      <c r="J137" s="179"/>
    </row>
    <row r="138" spans="1:10" x14ac:dyDescent="0.2">
      <c r="A138" s="216">
        <f t="shared" si="18"/>
        <v>72</v>
      </c>
      <c r="B138" s="215"/>
      <c r="C138" s="85">
        <f t="shared" si="19"/>
        <v>0</v>
      </c>
      <c r="D138" s="183">
        <f t="shared" si="20"/>
        <v>0</v>
      </c>
      <c r="E138" s="134"/>
      <c r="F138" s="180"/>
      <c r="G138" s="179"/>
      <c r="H138" s="184"/>
      <c r="I138" s="171"/>
      <c r="J138" s="179"/>
    </row>
    <row r="139" spans="1:10" x14ac:dyDescent="0.2">
      <c r="A139" s="216">
        <f t="shared" si="18"/>
        <v>72</v>
      </c>
      <c r="B139" s="215"/>
      <c r="C139" s="85">
        <f t="shared" si="19"/>
        <v>0</v>
      </c>
      <c r="D139" s="183">
        <f t="shared" si="20"/>
        <v>0</v>
      </c>
      <c r="E139" s="134"/>
      <c r="F139" s="180"/>
      <c r="G139" s="179"/>
      <c r="H139" s="184"/>
      <c r="I139" s="171"/>
      <c r="J139" s="179"/>
    </row>
    <row r="140" spans="1:10" x14ac:dyDescent="0.2">
      <c r="A140" s="216">
        <f t="shared" si="18"/>
        <v>72</v>
      </c>
      <c r="B140" s="215"/>
      <c r="C140" s="85">
        <f t="shared" si="19"/>
        <v>0</v>
      </c>
      <c r="D140" s="183">
        <f t="shared" si="20"/>
        <v>0</v>
      </c>
      <c r="E140" s="134"/>
      <c r="F140" s="180"/>
      <c r="G140" s="179"/>
      <c r="H140" s="184"/>
      <c r="I140" s="171"/>
      <c r="J140" s="179"/>
    </row>
    <row r="141" spans="1:10" x14ac:dyDescent="0.2">
      <c r="A141" s="216">
        <f t="shared" si="18"/>
        <v>72</v>
      </c>
      <c r="B141" s="215"/>
      <c r="C141" s="85">
        <f t="shared" si="19"/>
        <v>0</v>
      </c>
      <c r="D141" s="183">
        <f t="shared" si="20"/>
        <v>0</v>
      </c>
      <c r="E141" s="134"/>
      <c r="F141" s="180"/>
      <c r="G141" s="179"/>
      <c r="H141" s="184"/>
      <c r="I141" s="171"/>
      <c r="J141" s="179"/>
    </row>
    <row r="142" spans="1:10" x14ac:dyDescent="0.2">
      <c r="A142" s="216">
        <f t="shared" si="18"/>
        <v>72</v>
      </c>
      <c r="B142" s="215"/>
      <c r="C142" s="85">
        <f t="shared" si="19"/>
        <v>0</v>
      </c>
      <c r="D142" s="183">
        <f t="shared" si="20"/>
        <v>0</v>
      </c>
      <c r="E142" s="134"/>
      <c r="F142" s="180"/>
      <c r="G142" s="179"/>
      <c r="H142" s="184"/>
      <c r="I142" s="171"/>
      <c r="J142" s="179"/>
    </row>
    <row r="143" spans="1:10" x14ac:dyDescent="0.2">
      <c r="A143" s="216">
        <f t="shared" si="18"/>
        <v>72</v>
      </c>
      <c r="B143" s="215"/>
      <c r="C143" s="85">
        <f t="shared" si="19"/>
        <v>0</v>
      </c>
      <c r="D143" s="183">
        <f t="shared" si="20"/>
        <v>0</v>
      </c>
      <c r="E143" s="134"/>
      <c r="F143" s="180"/>
      <c r="G143" s="179"/>
      <c r="H143" s="184"/>
      <c r="I143" s="171"/>
      <c r="J143" s="179"/>
    </row>
    <row r="144" spans="1:10" x14ac:dyDescent="0.2">
      <c r="A144" s="216">
        <f t="shared" si="18"/>
        <v>72</v>
      </c>
      <c r="B144" s="215"/>
      <c r="C144" s="85">
        <f t="shared" si="19"/>
        <v>0</v>
      </c>
      <c r="D144" s="183">
        <f t="shared" si="20"/>
        <v>0</v>
      </c>
      <c r="E144" s="134"/>
      <c r="F144" s="180"/>
      <c r="G144" s="179"/>
      <c r="H144" s="184"/>
      <c r="I144" s="171"/>
      <c r="J144" s="179"/>
    </row>
    <row r="145" spans="1:10" x14ac:dyDescent="0.2">
      <c r="A145" s="216">
        <f t="shared" si="18"/>
        <v>72</v>
      </c>
      <c r="B145" s="215"/>
      <c r="C145" s="85">
        <f t="shared" si="19"/>
        <v>0</v>
      </c>
      <c r="D145" s="183">
        <f t="shared" si="20"/>
        <v>0</v>
      </c>
      <c r="E145" s="134"/>
      <c r="F145" s="180"/>
      <c r="G145" s="179"/>
      <c r="H145" s="184"/>
      <c r="I145" s="171"/>
      <c r="J145" s="179"/>
    </row>
    <row r="146" spans="1:10" x14ac:dyDescent="0.2">
      <c r="A146" s="216">
        <f t="shared" si="18"/>
        <v>72</v>
      </c>
      <c r="B146" s="215"/>
      <c r="C146" s="85">
        <f t="shared" si="19"/>
        <v>0</v>
      </c>
      <c r="D146" s="183">
        <f t="shared" si="20"/>
        <v>0</v>
      </c>
      <c r="E146" s="134"/>
      <c r="F146" s="180"/>
      <c r="G146" s="179"/>
      <c r="H146" s="184"/>
      <c r="I146" s="171"/>
      <c r="J146" s="179"/>
    </row>
    <row r="147" spans="1:10" x14ac:dyDescent="0.2">
      <c r="A147" s="216">
        <f t="shared" si="18"/>
        <v>72</v>
      </c>
      <c r="B147" s="215"/>
      <c r="C147" s="85">
        <f t="shared" si="19"/>
        <v>0</v>
      </c>
      <c r="D147" s="183">
        <f t="shared" si="20"/>
        <v>0</v>
      </c>
      <c r="E147" s="134"/>
      <c r="F147" s="180"/>
      <c r="G147" s="179"/>
      <c r="H147" s="184"/>
      <c r="I147" s="171"/>
      <c r="J147" s="179"/>
    </row>
    <row r="148" spans="1:10" x14ac:dyDescent="0.2">
      <c r="A148" s="216">
        <f t="shared" si="18"/>
        <v>72</v>
      </c>
      <c r="B148" s="215"/>
      <c r="C148" s="85">
        <f t="shared" si="19"/>
        <v>0</v>
      </c>
      <c r="D148" s="183">
        <f t="shared" si="20"/>
        <v>0</v>
      </c>
      <c r="E148" s="134"/>
      <c r="F148" s="180"/>
      <c r="G148" s="179"/>
      <c r="H148" s="184"/>
      <c r="I148" s="171"/>
      <c r="J148" s="179"/>
    </row>
    <row r="149" spans="1:10" x14ac:dyDescent="0.2">
      <c r="A149" s="216">
        <f t="shared" si="18"/>
        <v>72</v>
      </c>
      <c r="B149" s="215"/>
      <c r="C149" s="85">
        <f t="shared" si="19"/>
        <v>0</v>
      </c>
      <c r="D149" s="183">
        <f t="shared" si="20"/>
        <v>0</v>
      </c>
      <c r="E149" s="134"/>
      <c r="F149" s="180"/>
      <c r="G149" s="179"/>
      <c r="H149" s="184"/>
      <c r="I149" s="171"/>
      <c r="J149" s="179"/>
    </row>
    <row r="150" spans="1:10" x14ac:dyDescent="0.2">
      <c r="A150" s="216">
        <f t="shared" si="18"/>
        <v>72</v>
      </c>
      <c r="B150" s="215"/>
      <c r="C150" s="85">
        <f t="shared" si="19"/>
        <v>0</v>
      </c>
      <c r="D150" s="183">
        <f t="shared" si="20"/>
        <v>0</v>
      </c>
      <c r="E150" s="134"/>
      <c r="F150" s="180"/>
      <c r="G150" s="179"/>
      <c r="H150" s="184"/>
      <c r="I150" s="171"/>
      <c r="J150" s="179"/>
    </row>
    <row r="151" spans="1:10" x14ac:dyDescent="0.2">
      <c r="A151" s="216">
        <f t="shared" si="18"/>
        <v>72</v>
      </c>
      <c r="B151" s="215"/>
      <c r="C151" s="85">
        <f t="shared" si="19"/>
        <v>0</v>
      </c>
      <c r="D151" s="183">
        <f t="shared" si="20"/>
        <v>0</v>
      </c>
      <c r="E151" s="134"/>
      <c r="F151" s="180"/>
      <c r="G151" s="179"/>
      <c r="H151" s="184"/>
      <c r="I151" s="171"/>
      <c r="J151" s="179"/>
    </row>
    <row r="152" spans="1:10" x14ac:dyDescent="0.2">
      <c r="A152" s="216">
        <f t="shared" si="18"/>
        <v>72</v>
      </c>
      <c r="B152" s="215"/>
      <c r="C152" s="85">
        <f t="shared" si="19"/>
        <v>0</v>
      </c>
      <c r="D152" s="183">
        <f t="shared" si="20"/>
        <v>0</v>
      </c>
      <c r="E152" s="134"/>
      <c r="F152" s="180"/>
      <c r="G152" s="179"/>
      <c r="H152" s="184"/>
      <c r="I152" s="171"/>
      <c r="J152" s="179"/>
    </row>
    <row r="153" spans="1:10" x14ac:dyDescent="0.2">
      <c r="A153" s="216">
        <f t="shared" si="18"/>
        <v>72</v>
      </c>
      <c r="B153" s="215"/>
      <c r="C153" s="85">
        <f t="shared" si="19"/>
        <v>0</v>
      </c>
      <c r="D153" s="183">
        <f t="shared" si="20"/>
        <v>0</v>
      </c>
      <c r="E153" s="134"/>
      <c r="F153" s="180"/>
      <c r="G153" s="179"/>
      <c r="H153" s="184"/>
      <c r="I153" s="171"/>
      <c r="J153" s="179"/>
    </row>
    <row r="154" spans="1:10" x14ac:dyDescent="0.2">
      <c r="A154" s="216">
        <f t="shared" si="18"/>
        <v>72</v>
      </c>
      <c r="B154" s="215"/>
      <c r="C154" s="85">
        <f t="shared" si="19"/>
        <v>0</v>
      </c>
      <c r="D154" s="183">
        <f t="shared" si="20"/>
        <v>0</v>
      </c>
      <c r="E154" s="134"/>
      <c r="F154" s="180"/>
      <c r="G154" s="179"/>
      <c r="H154" s="184"/>
      <c r="I154" s="171"/>
      <c r="J154" s="179"/>
    </row>
    <row r="155" spans="1:10" x14ac:dyDescent="0.2">
      <c r="A155" s="216">
        <f t="shared" si="18"/>
        <v>72</v>
      </c>
      <c r="B155" s="215"/>
      <c r="C155" s="85">
        <f t="shared" si="19"/>
        <v>0</v>
      </c>
      <c r="D155" s="183">
        <f t="shared" si="20"/>
        <v>0</v>
      </c>
      <c r="E155" s="134"/>
      <c r="F155" s="180"/>
      <c r="G155" s="179"/>
      <c r="H155" s="184"/>
      <c r="I155" s="171"/>
      <c r="J155" s="179"/>
    </row>
    <row r="156" spans="1:10" x14ac:dyDescent="0.2">
      <c r="A156" s="216">
        <f t="shared" si="18"/>
        <v>72</v>
      </c>
      <c r="B156" s="215"/>
      <c r="C156" s="85">
        <f t="shared" si="19"/>
        <v>0</v>
      </c>
      <c r="D156" s="183">
        <f t="shared" si="20"/>
        <v>0</v>
      </c>
      <c r="E156" s="134"/>
      <c r="F156" s="180"/>
      <c r="G156" s="179"/>
      <c r="H156" s="184"/>
      <c r="I156" s="171"/>
      <c r="J156" s="179"/>
    </row>
    <row r="157" spans="1:10" x14ac:dyDescent="0.2">
      <c r="A157" s="216">
        <f t="shared" si="18"/>
        <v>72</v>
      </c>
      <c r="B157" s="215"/>
      <c r="C157" s="85">
        <f t="shared" si="19"/>
        <v>0</v>
      </c>
      <c r="D157" s="183">
        <f t="shared" si="20"/>
        <v>0</v>
      </c>
      <c r="E157" s="134"/>
      <c r="F157" s="180"/>
      <c r="G157" s="179"/>
      <c r="H157" s="184"/>
      <c r="I157" s="171"/>
      <c r="J157" s="179"/>
    </row>
    <row r="158" spans="1:10" x14ac:dyDescent="0.2">
      <c r="A158" s="216">
        <f t="shared" si="18"/>
        <v>72</v>
      </c>
      <c r="B158" s="215"/>
      <c r="C158" s="85">
        <f t="shared" si="19"/>
        <v>0</v>
      </c>
      <c r="D158" s="183">
        <f t="shared" si="20"/>
        <v>0</v>
      </c>
      <c r="E158" s="134"/>
      <c r="F158" s="180"/>
      <c r="G158" s="179"/>
      <c r="H158" s="184"/>
      <c r="I158" s="171"/>
      <c r="J158" s="179"/>
    </row>
    <row r="159" spans="1:10" x14ac:dyDescent="0.2">
      <c r="A159" s="216">
        <f t="shared" si="18"/>
        <v>72</v>
      </c>
      <c r="B159" s="215"/>
      <c r="C159" s="85">
        <f t="shared" si="19"/>
        <v>0</v>
      </c>
      <c r="D159" s="183">
        <f t="shared" si="20"/>
        <v>0</v>
      </c>
      <c r="E159" s="134"/>
      <c r="F159" s="180"/>
      <c r="G159" s="179"/>
      <c r="H159" s="184"/>
      <c r="I159" s="171"/>
      <c r="J159" s="179"/>
    </row>
    <row r="160" spans="1:10" x14ac:dyDescent="0.2">
      <c r="A160" s="216">
        <f t="shared" si="18"/>
        <v>72</v>
      </c>
      <c r="B160" s="215"/>
      <c r="C160" s="85">
        <f t="shared" si="19"/>
        <v>0</v>
      </c>
      <c r="D160" s="183">
        <f t="shared" si="20"/>
        <v>0</v>
      </c>
      <c r="E160" s="134"/>
      <c r="F160" s="180"/>
      <c r="G160" s="179"/>
      <c r="H160" s="184"/>
      <c r="I160" s="171"/>
      <c r="J160" s="179"/>
    </row>
    <row r="161" spans="1:10" x14ac:dyDescent="0.2">
      <c r="A161" s="216">
        <f t="shared" si="18"/>
        <v>72</v>
      </c>
      <c r="B161" s="215"/>
      <c r="C161" s="85">
        <f t="shared" si="19"/>
        <v>0</v>
      </c>
      <c r="D161" s="183">
        <f t="shared" si="20"/>
        <v>0</v>
      </c>
      <c r="E161" s="134"/>
      <c r="F161" s="180"/>
      <c r="G161" s="179"/>
      <c r="H161" s="184"/>
      <c r="I161" s="171"/>
      <c r="J161" s="179"/>
    </row>
    <row r="162" spans="1:10" x14ac:dyDescent="0.2">
      <c r="A162" s="216">
        <f t="shared" si="18"/>
        <v>72</v>
      </c>
      <c r="B162" s="215"/>
      <c r="C162" s="85">
        <f t="shared" si="19"/>
        <v>0</v>
      </c>
      <c r="D162" s="183">
        <f t="shared" si="20"/>
        <v>0</v>
      </c>
      <c r="E162" s="134"/>
      <c r="F162" s="180"/>
      <c r="G162" s="179"/>
      <c r="H162" s="184"/>
      <c r="I162" s="171"/>
      <c r="J162" s="179"/>
    </row>
    <row r="163" spans="1:10" x14ac:dyDescent="0.2">
      <c r="A163" s="216">
        <f t="shared" si="18"/>
        <v>72</v>
      </c>
      <c r="B163" s="215"/>
      <c r="C163" s="85">
        <f t="shared" si="19"/>
        <v>0</v>
      </c>
      <c r="D163" s="183">
        <f t="shared" si="20"/>
        <v>0</v>
      </c>
      <c r="E163" s="134"/>
      <c r="F163" s="180"/>
      <c r="G163" s="179"/>
      <c r="H163" s="184"/>
      <c r="I163" s="171"/>
      <c r="J163" s="179"/>
    </row>
    <row r="164" spans="1:10" x14ac:dyDescent="0.2">
      <c r="A164" s="216">
        <f t="shared" si="18"/>
        <v>72</v>
      </c>
      <c r="B164" s="215"/>
      <c r="C164" s="85">
        <f t="shared" si="19"/>
        <v>0</v>
      </c>
      <c r="D164" s="183">
        <f t="shared" si="20"/>
        <v>0</v>
      </c>
      <c r="E164" s="134"/>
      <c r="F164" s="180"/>
      <c r="G164" s="179"/>
      <c r="H164" s="184"/>
      <c r="I164" s="171"/>
      <c r="J164" s="179"/>
    </row>
    <row r="165" spans="1:10" x14ac:dyDescent="0.2">
      <c r="A165" s="216">
        <f t="shared" si="18"/>
        <v>72</v>
      </c>
      <c r="B165" s="215"/>
      <c r="C165" s="85">
        <f t="shared" si="19"/>
        <v>0</v>
      </c>
      <c r="D165" s="183">
        <f t="shared" si="20"/>
        <v>0</v>
      </c>
      <c r="E165" s="134"/>
      <c r="F165" s="180"/>
      <c r="G165" s="179"/>
      <c r="H165" s="184"/>
      <c r="I165" s="171"/>
      <c r="J165" s="179"/>
    </row>
    <row r="166" spans="1:10" x14ac:dyDescent="0.2">
      <c r="A166" s="216">
        <f t="shared" si="18"/>
        <v>72</v>
      </c>
      <c r="B166" s="215"/>
      <c r="C166" s="85">
        <f t="shared" si="19"/>
        <v>0</v>
      </c>
      <c r="D166" s="183">
        <f t="shared" si="20"/>
        <v>0</v>
      </c>
      <c r="E166" s="134"/>
      <c r="F166" s="180"/>
      <c r="G166" s="179"/>
      <c r="H166" s="184"/>
      <c r="I166" s="171"/>
      <c r="J166" s="179"/>
    </row>
    <row r="167" spans="1:10" x14ac:dyDescent="0.2">
      <c r="A167" s="216">
        <f t="shared" si="18"/>
        <v>72</v>
      </c>
      <c r="B167" s="215"/>
      <c r="C167" s="85">
        <f t="shared" si="19"/>
        <v>0</v>
      </c>
      <c r="D167" s="183">
        <f t="shared" si="20"/>
        <v>0</v>
      </c>
      <c r="E167" s="134"/>
      <c r="F167" s="180"/>
      <c r="G167" s="179"/>
      <c r="H167" s="184"/>
      <c r="I167" s="171"/>
      <c r="J167" s="179"/>
    </row>
    <row r="168" spans="1:10" x14ac:dyDescent="0.2">
      <c r="A168" s="216">
        <f t="shared" si="18"/>
        <v>72</v>
      </c>
      <c r="B168" s="215"/>
      <c r="C168" s="85">
        <f t="shared" ref="C168:C199" si="21">IFERROR(VLOOKUP(J168,Tabla_Items,2,FALSE),G168)</f>
        <v>0</v>
      </c>
      <c r="D168" s="183">
        <f t="shared" ref="D168:D199" si="22">IFERROR(VLOOKUP(J168,Tabla_Items,2,FALSE),H168)</f>
        <v>0</v>
      </c>
      <c r="E168" s="134"/>
      <c r="F168" s="180"/>
      <c r="G168" s="179"/>
      <c r="H168" s="184"/>
      <c r="I168" s="171"/>
      <c r="J168" s="179"/>
    </row>
    <row r="169" spans="1:10" x14ac:dyDescent="0.2">
      <c r="A169" s="216">
        <f t="shared" si="18"/>
        <v>72</v>
      </c>
      <c r="B169" s="215"/>
      <c r="C169" s="85">
        <f t="shared" si="21"/>
        <v>0</v>
      </c>
      <c r="D169" s="183">
        <f t="shared" si="22"/>
        <v>0</v>
      </c>
      <c r="E169" s="134"/>
      <c r="F169" s="180"/>
      <c r="G169" s="179"/>
      <c r="H169" s="184"/>
      <c r="I169" s="171"/>
      <c r="J169" s="179"/>
    </row>
    <row r="170" spans="1:10" x14ac:dyDescent="0.2">
      <c r="A170" s="216">
        <f t="shared" si="18"/>
        <v>72</v>
      </c>
      <c r="B170" s="215"/>
      <c r="C170" s="85">
        <f t="shared" si="21"/>
        <v>0</v>
      </c>
      <c r="D170" s="183">
        <f t="shared" si="22"/>
        <v>0</v>
      </c>
      <c r="E170" s="134"/>
      <c r="F170" s="180"/>
      <c r="G170" s="179"/>
      <c r="H170" s="184"/>
      <c r="I170" s="171"/>
      <c r="J170" s="179"/>
    </row>
    <row r="171" spans="1:10" x14ac:dyDescent="0.2">
      <c r="A171" s="216">
        <f t="shared" si="18"/>
        <v>72</v>
      </c>
      <c r="B171" s="215"/>
      <c r="C171" s="85">
        <f t="shared" si="21"/>
        <v>0</v>
      </c>
      <c r="D171" s="183">
        <f t="shared" si="22"/>
        <v>0</v>
      </c>
      <c r="E171" s="134"/>
      <c r="F171" s="180"/>
      <c r="G171" s="179"/>
      <c r="H171" s="184"/>
      <c r="I171" s="171"/>
      <c r="J171" s="179"/>
    </row>
    <row r="172" spans="1:10" x14ac:dyDescent="0.2">
      <c r="A172" s="216">
        <f t="shared" si="18"/>
        <v>72</v>
      </c>
      <c r="B172" s="215"/>
      <c r="C172" s="85">
        <f t="shared" si="21"/>
        <v>0</v>
      </c>
      <c r="D172" s="183">
        <f t="shared" si="22"/>
        <v>0</v>
      </c>
      <c r="E172" s="134"/>
      <c r="F172" s="180"/>
      <c r="G172" s="179"/>
      <c r="H172" s="184"/>
      <c r="I172" s="171"/>
      <c r="J172" s="179"/>
    </row>
    <row r="173" spans="1:10" x14ac:dyDescent="0.2">
      <c r="A173" s="216">
        <f t="shared" si="18"/>
        <v>72</v>
      </c>
      <c r="B173" s="215"/>
      <c r="C173" s="85">
        <f t="shared" si="21"/>
        <v>0</v>
      </c>
      <c r="D173" s="183">
        <f t="shared" si="22"/>
        <v>0</v>
      </c>
      <c r="E173" s="134"/>
      <c r="F173" s="180"/>
      <c r="G173" s="179"/>
      <c r="H173" s="184"/>
      <c r="I173" s="171"/>
      <c r="J173" s="179"/>
    </row>
    <row r="174" spans="1:10" x14ac:dyDescent="0.2">
      <c r="A174" s="216">
        <f t="shared" si="18"/>
        <v>72</v>
      </c>
      <c r="B174" s="215"/>
      <c r="C174" s="85">
        <f t="shared" si="21"/>
        <v>0</v>
      </c>
      <c r="D174" s="183">
        <f t="shared" si="22"/>
        <v>0</v>
      </c>
      <c r="E174" s="134"/>
      <c r="F174" s="180"/>
      <c r="G174" s="179"/>
      <c r="H174" s="184"/>
      <c r="I174" s="171"/>
      <c r="J174" s="179"/>
    </row>
    <row r="175" spans="1:10" x14ac:dyDescent="0.2">
      <c r="A175" s="216">
        <f t="shared" si="18"/>
        <v>72</v>
      </c>
      <c r="B175" s="215"/>
      <c r="C175" s="85">
        <f t="shared" si="21"/>
        <v>0</v>
      </c>
      <c r="D175" s="183">
        <f t="shared" si="22"/>
        <v>0</v>
      </c>
      <c r="E175" s="134"/>
      <c r="F175" s="180"/>
      <c r="G175" s="179"/>
      <c r="H175" s="184"/>
      <c r="I175" s="171"/>
      <c r="J175" s="179"/>
    </row>
    <row r="176" spans="1:10" x14ac:dyDescent="0.2">
      <c r="A176" s="216">
        <f t="shared" si="18"/>
        <v>72</v>
      </c>
      <c r="B176" s="215"/>
      <c r="C176" s="85">
        <f t="shared" si="21"/>
        <v>0</v>
      </c>
      <c r="D176" s="183">
        <f t="shared" si="22"/>
        <v>0</v>
      </c>
      <c r="E176" s="134"/>
      <c r="F176" s="180"/>
      <c r="G176" s="179"/>
      <c r="H176" s="184"/>
      <c r="I176" s="171"/>
      <c r="J176" s="179"/>
    </row>
    <row r="177" spans="1:10" x14ac:dyDescent="0.2">
      <c r="A177" s="216">
        <f t="shared" si="18"/>
        <v>72</v>
      </c>
      <c r="B177" s="215"/>
      <c r="C177" s="85">
        <f t="shared" si="21"/>
        <v>0</v>
      </c>
      <c r="D177" s="183">
        <f t="shared" si="22"/>
        <v>0</v>
      </c>
      <c r="E177" s="134"/>
      <c r="F177" s="180"/>
      <c r="G177" s="179"/>
      <c r="H177" s="184"/>
      <c r="I177" s="171"/>
      <c r="J177" s="179"/>
    </row>
    <row r="178" spans="1:10" x14ac:dyDescent="0.2">
      <c r="A178" s="216">
        <f t="shared" si="18"/>
        <v>72</v>
      </c>
      <c r="B178" s="215"/>
      <c r="C178" s="85">
        <f t="shared" si="21"/>
        <v>0</v>
      </c>
      <c r="D178" s="183">
        <f t="shared" si="22"/>
        <v>0</v>
      </c>
      <c r="E178" s="134"/>
      <c r="F178" s="180"/>
      <c r="G178" s="179"/>
      <c r="H178" s="184"/>
      <c r="I178" s="171"/>
      <c r="J178" s="179"/>
    </row>
    <row r="179" spans="1:10" x14ac:dyDescent="0.2">
      <c r="A179" s="216">
        <f t="shared" si="18"/>
        <v>72</v>
      </c>
      <c r="B179" s="215"/>
      <c r="C179" s="85">
        <f t="shared" si="21"/>
        <v>0</v>
      </c>
      <c r="D179" s="183">
        <f t="shared" si="22"/>
        <v>0</v>
      </c>
      <c r="E179" s="134"/>
      <c r="F179" s="180"/>
      <c r="G179" s="179"/>
      <c r="H179" s="184"/>
      <c r="I179" s="171"/>
      <c r="J179" s="179"/>
    </row>
    <row r="180" spans="1:10" x14ac:dyDescent="0.2">
      <c r="A180" s="216">
        <f t="shared" si="18"/>
        <v>72</v>
      </c>
      <c r="B180" s="215"/>
      <c r="C180" s="85">
        <f t="shared" si="21"/>
        <v>0</v>
      </c>
      <c r="D180" s="183">
        <f t="shared" si="22"/>
        <v>0</v>
      </c>
      <c r="E180" s="134"/>
      <c r="F180" s="180"/>
      <c r="G180" s="179"/>
      <c r="H180" s="184"/>
      <c r="I180" s="171"/>
      <c r="J180" s="179"/>
    </row>
    <row r="181" spans="1:10" x14ac:dyDescent="0.2">
      <c r="A181" s="216">
        <f t="shared" si="18"/>
        <v>72</v>
      </c>
      <c r="B181" s="215"/>
      <c r="C181" s="85">
        <f t="shared" si="21"/>
        <v>0</v>
      </c>
      <c r="D181" s="183">
        <f t="shared" si="22"/>
        <v>0</v>
      </c>
      <c r="E181" s="134"/>
      <c r="F181" s="180"/>
      <c r="G181" s="179"/>
      <c r="H181" s="184"/>
      <c r="I181" s="171"/>
      <c r="J181" s="179"/>
    </row>
    <row r="182" spans="1:10" x14ac:dyDescent="0.2">
      <c r="A182" s="216">
        <f t="shared" si="18"/>
        <v>72</v>
      </c>
      <c r="B182" s="215"/>
      <c r="C182" s="85">
        <f t="shared" si="21"/>
        <v>0</v>
      </c>
      <c r="D182" s="183">
        <f t="shared" si="22"/>
        <v>0</v>
      </c>
      <c r="E182" s="134"/>
      <c r="F182" s="180"/>
      <c r="G182" s="179"/>
      <c r="H182" s="184"/>
      <c r="I182" s="171"/>
      <c r="J182" s="179"/>
    </row>
    <row r="183" spans="1:10" x14ac:dyDescent="0.2">
      <c r="A183" s="216">
        <f t="shared" si="18"/>
        <v>72</v>
      </c>
      <c r="B183" s="215"/>
      <c r="C183" s="85">
        <f t="shared" si="21"/>
        <v>0</v>
      </c>
      <c r="D183" s="183">
        <f t="shared" si="22"/>
        <v>0</v>
      </c>
      <c r="E183" s="134"/>
      <c r="F183" s="180"/>
      <c r="G183" s="179"/>
      <c r="H183" s="184"/>
      <c r="I183" s="171"/>
      <c r="J183" s="179"/>
    </row>
    <row r="184" spans="1:10" x14ac:dyDescent="0.2">
      <c r="A184" s="216">
        <f t="shared" si="18"/>
        <v>72</v>
      </c>
      <c r="B184" s="215"/>
      <c r="C184" s="85">
        <f t="shared" si="21"/>
        <v>0</v>
      </c>
      <c r="D184" s="183">
        <f t="shared" si="22"/>
        <v>0</v>
      </c>
      <c r="E184" s="134"/>
      <c r="F184" s="180"/>
      <c r="G184" s="179"/>
      <c r="H184" s="184"/>
      <c r="I184" s="171"/>
      <c r="J184" s="179"/>
    </row>
    <row r="185" spans="1:10" x14ac:dyDescent="0.2">
      <c r="A185" s="216">
        <f t="shared" si="18"/>
        <v>72</v>
      </c>
      <c r="B185" s="215"/>
      <c r="C185" s="85">
        <f t="shared" si="21"/>
        <v>0</v>
      </c>
      <c r="D185" s="183">
        <f t="shared" si="22"/>
        <v>0</v>
      </c>
      <c r="E185" s="134"/>
      <c r="F185" s="180"/>
      <c r="G185" s="179"/>
      <c r="H185" s="184"/>
      <c r="I185" s="171"/>
      <c r="J185" s="179"/>
    </row>
    <row r="186" spans="1:10" x14ac:dyDescent="0.2">
      <c r="A186" s="216">
        <f t="shared" si="18"/>
        <v>72</v>
      </c>
      <c r="B186" s="215"/>
      <c r="C186" s="85">
        <f t="shared" si="21"/>
        <v>0</v>
      </c>
      <c r="D186" s="183">
        <f t="shared" si="22"/>
        <v>0</v>
      </c>
      <c r="E186" s="134"/>
      <c r="F186" s="180"/>
      <c r="G186" s="179"/>
      <c r="H186" s="184"/>
      <c r="I186" s="171"/>
      <c r="J186" s="179"/>
    </row>
    <row r="187" spans="1:10" x14ac:dyDescent="0.2">
      <c r="A187" s="216">
        <f t="shared" si="18"/>
        <v>72</v>
      </c>
      <c r="B187" s="215"/>
      <c r="C187" s="85">
        <f t="shared" si="21"/>
        <v>0</v>
      </c>
      <c r="D187" s="183">
        <f t="shared" si="22"/>
        <v>0</v>
      </c>
      <c r="E187" s="134"/>
      <c r="F187" s="180"/>
      <c r="G187" s="179"/>
      <c r="H187" s="184"/>
      <c r="I187" s="171"/>
      <c r="J187" s="179"/>
    </row>
    <row r="188" spans="1:10" x14ac:dyDescent="0.2">
      <c r="A188" s="216">
        <f t="shared" si="18"/>
        <v>72</v>
      </c>
      <c r="B188" s="215"/>
      <c r="C188" s="85">
        <f t="shared" si="21"/>
        <v>0</v>
      </c>
      <c r="D188" s="183">
        <f t="shared" si="22"/>
        <v>0</v>
      </c>
      <c r="E188" s="134"/>
      <c r="F188" s="180"/>
      <c r="G188" s="179"/>
      <c r="H188" s="184"/>
      <c r="I188" s="171"/>
      <c r="J188" s="179"/>
    </row>
    <row r="189" spans="1:10" x14ac:dyDescent="0.2">
      <c r="A189" s="216">
        <f t="shared" si="18"/>
        <v>72</v>
      </c>
      <c r="B189" s="215"/>
      <c r="C189" s="85">
        <f t="shared" si="21"/>
        <v>0</v>
      </c>
      <c r="D189" s="183">
        <f t="shared" si="22"/>
        <v>0</v>
      </c>
      <c r="E189" s="134"/>
      <c r="F189" s="180"/>
      <c r="G189" s="179"/>
      <c r="H189" s="184"/>
      <c r="I189" s="171"/>
      <c r="J189" s="179"/>
    </row>
    <row r="190" spans="1:10" x14ac:dyDescent="0.2">
      <c r="A190" s="216">
        <f t="shared" si="18"/>
        <v>72</v>
      </c>
      <c r="B190" s="215"/>
      <c r="C190" s="85">
        <f t="shared" si="21"/>
        <v>0</v>
      </c>
      <c r="D190" s="183">
        <f t="shared" si="22"/>
        <v>0</v>
      </c>
      <c r="E190" s="134"/>
      <c r="F190" s="180"/>
      <c r="G190" s="179"/>
      <c r="H190" s="184"/>
      <c r="I190" s="171"/>
      <c r="J190" s="179"/>
    </row>
    <row r="191" spans="1:10" x14ac:dyDescent="0.2">
      <c r="A191" s="216">
        <f t="shared" si="18"/>
        <v>72</v>
      </c>
      <c r="B191" s="215"/>
      <c r="C191" s="85">
        <f t="shared" si="21"/>
        <v>0</v>
      </c>
      <c r="D191" s="183">
        <f t="shared" si="22"/>
        <v>0</v>
      </c>
      <c r="E191" s="134"/>
      <c r="F191" s="180"/>
      <c r="G191" s="179"/>
      <c r="H191" s="184"/>
      <c r="I191" s="171"/>
      <c r="J191" s="179"/>
    </row>
    <row r="192" spans="1:10" x14ac:dyDescent="0.2">
      <c r="A192" s="216">
        <f t="shared" si="18"/>
        <v>72</v>
      </c>
      <c r="B192" s="215"/>
      <c r="C192" s="85">
        <f t="shared" si="21"/>
        <v>0</v>
      </c>
      <c r="D192" s="183">
        <f t="shared" si="22"/>
        <v>0</v>
      </c>
      <c r="E192" s="134"/>
      <c r="F192" s="180"/>
      <c r="G192" s="179"/>
      <c r="H192" s="184"/>
      <c r="I192" s="171"/>
      <c r="J192" s="179"/>
    </row>
    <row r="193" spans="1:10" x14ac:dyDescent="0.2">
      <c r="A193" s="216">
        <f t="shared" si="18"/>
        <v>72</v>
      </c>
      <c r="B193" s="215"/>
      <c r="C193" s="85">
        <f t="shared" si="21"/>
        <v>0</v>
      </c>
      <c r="D193" s="183">
        <f t="shared" si="22"/>
        <v>0</v>
      </c>
      <c r="E193" s="134"/>
      <c r="F193" s="180"/>
      <c r="G193" s="179"/>
      <c r="H193" s="184"/>
      <c r="I193" s="171"/>
      <c r="J193" s="179"/>
    </row>
    <row r="194" spans="1:10" x14ac:dyDescent="0.2">
      <c r="A194" s="216">
        <f t="shared" si="18"/>
        <v>72</v>
      </c>
      <c r="B194" s="215"/>
      <c r="C194" s="85">
        <f t="shared" si="21"/>
        <v>0</v>
      </c>
      <c r="D194" s="183">
        <f t="shared" si="22"/>
        <v>0</v>
      </c>
      <c r="E194" s="134"/>
      <c r="F194" s="180"/>
      <c r="G194" s="179"/>
      <c r="H194" s="184"/>
      <c r="I194" s="171"/>
      <c r="J194" s="179"/>
    </row>
    <row r="195" spans="1:10" x14ac:dyDescent="0.2">
      <c r="A195" s="216">
        <f t="shared" si="18"/>
        <v>72</v>
      </c>
      <c r="B195" s="215"/>
      <c r="C195" s="85">
        <f t="shared" si="21"/>
        <v>0</v>
      </c>
      <c r="D195" s="183">
        <f t="shared" si="22"/>
        <v>0</v>
      </c>
      <c r="E195" s="134"/>
      <c r="F195" s="180"/>
      <c r="G195" s="179"/>
      <c r="H195" s="184"/>
      <c r="I195" s="171"/>
      <c r="J195" s="179"/>
    </row>
    <row r="196" spans="1:10" x14ac:dyDescent="0.2">
      <c r="A196" s="216">
        <f t="shared" si="18"/>
        <v>72</v>
      </c>
      <c r="B196" s="215"/>
      <c r="C196" s="85">
        <f t="shared" si="21"/>
        <v>0</v>
      </c>
      <c r="D196" s="183">
        <f t="shared" si="22"/>
        <v>0</v>
      </c>
      <c r="E196" s="134"/>
      <c r="F196" s="180"/>
      <c r="G196" s="179"/>
      <c r="H196" s="184"/>
      <c r="I196" s="171"/>
      <c r="J196" s="179"/>
    </row>
    <row r="197" spans="1:10" x14ac:dyDescent="0.2">
      <c r="A197" s="216">
        <f t="shared" si="18"/>
        <v>72</v>
      </c>
      <c r="B197" s="215"/>
      <c r="C197" s="85">
        <f t="shared" si="21"/>
        <v>0</v>
      </c>
      <c r="D197" s="183">
        <f t="shared" si="22"/>
        <v>0</v>
      </c>
      <c r="E197" s="134"/>
      <c r="F197" s="180"/>
      <c r="G197" s="179"/>
      <c r="H197" s="184"/>
      <c r="I197" s="171"/>
      <c r="J197" s="179"/>
    </row>
    <row r="198" spans="1:10" x14ac:dyDescent="0.2">
      <c r="A198" s="216">
        <f t="shared" si="18"/>
        <v>72</v>
      </c>
      <c r="B198" s="215"/>
      <c r="C198" s="85">
        <f t="shared" si="21"/>
        <v>0</v>
      </c>
      <c r="D198" s="183">
        <f t="shared" si="22"/>
        <v>0</v>
      </c>
      <c r="E198" s="134"/>
      <c r="F198" s="180"/>
      <c r="G198" s="179"/>
      <c r="H198" s="184"/>
      <c r="I198" s="171"/>
      <c r="J198" s="179"/>
    </row>
    <row r="199" spans="1:10" x14ac:dyDescent="0.2">
      <c r="A199" s="216">
        <f t="shared" si="18"/>
        <v>72</v>
      </c>
      <c r="B199" s="215"/>
      <c r="C199" s="85">
        <f t="shared" si="21"/>
        <v>0</v>
      </c>
      <c r="D199" s="183">
        <f t="shared" si="22"/>
        <v>0</v>
      </c>
      <c r="E199" s="134"/>
      <c r="F199" s="180"/>
      <c r="G199" s="179"/>
      <c r="H199" s="184"/>
      <c r="I199" s="171"/>
      <c r="J199" s="179"/>
    </row>
    <row r="200" spans="1:10" x14ac:dyDescent="0.2">
      <c r="A200" s="216">
        <f t="shared" ref="A200:A211" si="23">IF(D200=0,A199,A199+1)</f>
        <v>72</v>
      </c>
      <c r="B200" s="215"/>
      <c r="C200" s="85">
        <f t="shared" ref="C200:C221" si="24">IFERROR(VLOOKUP(J200,Tabla_Items,2,FALSE),G200)</f>
        <v>0</v>
      </c>
      <c r="D200" s="183">
        <f t="shared" ref="D200:D221" si="25">IFERROR(VLOOKUP(J200,Tabla_Items,2,FALSE),H200)</f>
        <v>0</v>
      </c>
      <c r="E200" s="134"/>
      <c r="F200" s="180"/>
      <c r="G200" s="179"/>
      <c r="H200" s="184"/>
      <c r="I200" s="171"/>
      <c r="J200" s="179"/>
    </row>
    <row r="201" spans="1:10" x14ac:dyDescent="0.2">
      <c r="A201" s="216">
        <f t="shared" si="23"/>
        <v>72</v>
      </c>
      <c r="B201" s="215"/>
      <c r="C201" s="85">
        <f t="shared" si="24"/>
        <v>0</v>
      </c>
      <c r="D201" s="183">
        <f t="shared" si="25"/>
        <v>0</v>
      </c>
      <c r="E201" s="134"/>
      <c r="F201" s="180"/>
      <c r="G201" s="179"/>
      <c r="H201" s="184"/>
      <c r="I201" s="171"/>
      <c r="J201" s="179"/>
    </row>
    <row r="202" spans="1:10" x14ac:dyDescent="0.2">
      <c r="A202" s="216">
        <f t="shared" si="23"/>
        <v>72</v>
      </c>
      <c r="B202" s="215"/>
      <c r="C202" s="85">
        <f t="shared" si="24"/>
        <v>0</v>
      </c>
      <c r="D202" s="183">
        <f t="shared" si="25"/>
        <v>0</v>
      </c>
      <c r="E202" s="134"/>
      <c r="F202" s="180"/>
      <c r="G202" s="179"/>
      <c r="H202" s="184"/>
      <c r="I202" s="171"/>
      <c r="J202" s="179"/>
    </row>
    <row r="203" spans="1:10" x14ac:dyDescent="0.2">
      <c r="A203" s="216">
        <f t="shared" si="23"/>
        <v>72</v>
      </c>
      <c r="B203" s="215"/>
      <c r="C203" s="85">
        <f t="shared" si="24"/>
        <v>0</v>
      </c>
      <c r="D203" s="183">
        <f t="shared" si="25"/>
        <v>0</v>
      </c>
      <c r="E203" s="134"/>
      <c r="F203" s="180"/>
      <c r="G203" s="179"/>
      <c r="H203" s="184"/>
      <c r="I203" s="171"/>
      <c r="J203" s="179"/>
    </row>
    <row r="204" spans="1:10" x14ac:dyDescent="0.2">
      <c r="A204" s="216">
        <f t="shared" si="23"/>
        <v>72</v>
      </c>
      <c r="B204" s="215"/>
      <c r="C204" s="85">
        <f t="shared" si="24"/>
        <v>0</v>
      </c>
      <c r="D204" s="183">
        <f t="shared" si="25"/>
        <v>0</v>
      </c>
      <c r="E204" s="134"/>
      <c r="F204" s="180"/>
      <c r="G204" s="179"/>
      <c r="H204" s="184"/>
      <c r="I204" s="171"/>
      <c r="J204" s="179"/>
    </row>
    <row r="205" spans="1:10" x14ac:dyDescent="0.2">
      <c r="A205" s="216">
        <f t="shared" si="23"/>
        <v>72</v>
      </c>
      <c r="B205" s="215"/>
      <c r="C205" s="85">
        <f t="shared" si="24"/>
        <v>0</v>
      </c>
      <c r="D205" s="183">
        <f t="shared" si="25"/>
        <v>0</v>
      </c>
      <c r="E205" s="134"/>
      <c r="F205" s="180"/>
      <c r="G205" s="179"/>
      <c r="H205" s="184"/>
      <c r="I205" s="171"/>
      <c r="J205" s="179"/>
    </row>
    <row r="206" spans="1:10" x14ac:dyDescent="0.2">
      <c r="A206" s="216">
        <f t="shared" si="23"/>
        <v>72</v>
      </c>
      <c r="B206" s="215"/>
      <c r="C206" s="85">
        <f t="shared" si="24"/>
        <v>0</v>
      </c>
      <c r="D206" s="183">
        <f t="shared" si="25"/>
        <v>0</v>
      </c>
      <c r="E206" s="134"/>
      <c r="F206" s="180"/>
      <c r="G206" s="179"/>
      <c r="H206" s="184"/>
      <c r="I206" s="171"/>
      <c r="J206" s="179"/>
    </row>
    <row r="207" spans="1:10" x14ac:dyDescent="0.2">
      <c r="A207" s="216">
        <f t="shared" si="23"/>
        <v>72</v>
      </c>
      <c r="B207" s="215"/>
      <c r="C207" s="85">
        <f t="shared" si="24"/>
        <v>0</v>
      </c>
      <c r="D207" s="183">
        <f t="shared" si="25"/>
        <v>0</v>
      </c>
      <c r="E207" s="134"/>
      <c r="F207" s="180"/>
      <c r="G207" s="179"/>
      <c r="H207" s="184"/>
      <c r="I207" s="171"/>
      <c r="J207" s="179"/>
    </row>
    <row r="208" spans="1:10" x14ac:dyDescent="0.2">
      <c r="A208" s="216">
        <f t="shared" si="23"/>
        <v>72</v>
      </c>
      <c r="B208" s="215"/>
      <c r="C208" s="85">
        <f t="shared" si="24"/>
        <v>0</v>
      </c>
      <c r="D208" s="183">
        <f t="shared" si="25"/>
        <v>0</v>
      </c>
      <c r="E208" s="134"/>
      <c r="F208" s="180"/>
      <c r="G208" s="179"/>
      <c r="H208" s="184"/>
      <c r="I208" s="171"/>
      <c r="J208" s="179"/>
    </row>
    <row r="209" spans="1:10" x14ac:dyDescent="0.2">
      <c r="A209" s="216">
        <f t="shared" si="23"/>
        <v>72</v>
      </c>
      <c r="B209" s="215"/>
      <c r="C209" s="85">
        <f t="shared" si="24"/>
        <v>0</v>
      </c>
      <c r="D209" s="183">
        <f t="shared" si="25"/>
        <v>0</v>
      </c>
      <c r="E209" s="134"/>
      <c r="F209" s="180"/>
      <c r="G209" s="179"/>
      <c r="H209" s="184"/>
      <c r="I209" s="171"/>
      <c r="J209" s="179"/>
    </row>
    <row r="210" spans="1:10" x14ac:dyDescent="0.2">
      <c r="A210" s="216">
        <f t="shared" si="23"/>
        <v>72</v>
      </c>
      <c r="B210" s="215"/>
      <c r="C210" s="85">
        <f t="shared" si="24"/>
        <v>0</v>
      </c>
      <c r="D210" s="183">
        <f t="shared" si="25"/>
        <v>0</v>
      </c>
      <c r="E210" s="134"/>
      <c r="F210" s="180"/>
      <c r="G210" s="179"/>
      <c r="H210" s="184"/>
      <c r="I210" s="171"/>
      <c r="J210" s="179"/>
    </row>
    <row r="211" spans="1:10" x14ac:dyDescent="0.2">
      <c r="A211" s="216">
        <f t="shared" si="23"/>
        <v>72</v>
      </c>
      <c r="B211" s="215"/>
      <c r="C211" s="85">
        <f t="shared" si="24"/>
        <v>0</v>
      </c>
      <c r="D211" s="183">
        <f t="shared" si="25"/>
        <v>0</v>
      </c>
      <c r="E211" s="134"/>
      <c r="F211" s="180"/>
      <c r="G211" s="179"/>
      <c r="H211" s="184"/>
      <c r="I211" s="171"/>
      <c r="J211" s="179"/>
    </row>
    <row r="212" spans="1:10" x14ac:dyDescent="0.2">
      <c r="A212" s="216">
        <f t="shared" ref="A212:A221" si="26">IF(D212=0,A211,A211+1)</f>
        <v>72</v>
      </c>
      <c r="B212" s="215"/>
      <c r="C212" s="85">
        <f t="shared" si="24"/>
        <v>0</v>
      </c>
      <c r="D212" s="183">
        <f t="shared" si="25"/>
        <v>0</v>
      </c>
      <c r="E212" s="134"/>
      <c r="F212" s="180"/>
      <c r="G212" s="179"/>
      <c r="H212" s="184"/>
      <c r="I212" s="171"/>
      <c r="J212" s="179"/>
    </row>
    <row r="213" spans="1:10" x14ac:dyDescent="0.2">
      <c r="A213" s="216">
        <f t="shared" si="26"/>
        <v>72</v>
      </c>
      <c r="B213" s="215"/>
      <c r="C213" s="85">
        <f t="shared" si="24"/>
        <v>0</v>
      </c>
      <c r="D213" s="183">
        <f t="shared" si="25"/>
        <v>0</v>
      </c>
      <c r="E213" s="134"/>
      <c r="F213" s="180"/>
      <c r="G213" s="179"/>
      <c r="H213" s="184"/>
      <c r="I213" s="171"/>
      <c r="J213" s="179"/>
    </row>
    <row r="214" spans="1:10" x14ac:dyDescent="0.2">
      <c r="A214" s="216">
        <f t="shared" si="26"/>
        <v>72</v>
      </c>
      <c r="B214" s="215"/>
      <c r="C214" s="85">
        <f t="shared" si="24"/>
        <v>0</v>
      </c>
      <c r="D214" s="183">
        <f t="shared" si="25"/>
        <v>0</v>
      </c>
      <c r="E214" s="134"/>
      <c r="F214" s="180"/>
      <c r="G214" s="179"/>
      <c r="H214" s="184"/>
      <c r="I214" s="171"/>
      <c r="J214" s="179"/>
    </row>
    <row r="215" spans="1:10" x14ac:dyDescent="0.2">
      <c r="A215" s="216">
        <f t="shared" si="26"/>
        <v>72</v>
      </c>
      <c r="B215" s="215"/>
      <c r="C215" s="85">
        <f t="shared" si="24"/>
        <v>0</v>
      </c>
      <c r="D215" s="183">
        <f t="shared" si="25"/>
        <v>0</v>
      </c>
      <c r="E215" s="134"/>
      <c r="F215" s="180"/>
      <c r="G215" s="179"/>
      <c r="H215" s="184"/>
      <c r="I215" s="171"/>
      <c r="J215" s="179"/>
    </row>
    <row r="216" spans="1:10" x14ac:dyDescent="0.2">
      <c r="A216" s="216">
        <f t="shared" si="26"/>
        <v>72</v>
      </c>
      <c r="B216" s="215"/>
      <c r="C216" s="85">
        <f t="shared" si="24"/>
        <v>0</v>
      </c>
      <c r="D216" s="183">
        <f t="shared" si="25"/>
        <v>0</v>
      </c>
      <c r="E216" s="134"/>
      <c r="F216" s="180"/>
      <c r="G216" s="179"/>
      <c r="H216" s="184"/>
      <c r="I216" s="171"/>
      <c r="J216" s="179"/>
    </row>
    <row r="217" spans="1:10" x14ac:dyDescent="0.2">
      <c r="A217" s="216">
        <f t="shared" si="26"/>
        <v>72</v>
      </c>
      <c r="B217" s="215"/>
      <c r="C217" s="85">
        <f t="shared" si="24"/>
        <v>0</v>
      </c>
      <c r="D217" s="183">
        <f t="shared" si="25"/>
        <v>0</v>
      </c>
      <c r="E217" s="134"/>
      <c r="F217" s="180"/>
      <c r="G217" s="179"/>
      <c r="H217" s="184"/>
      <c r="I217" s="171"/>
      <c r="J217" s="179"/>
    </row>
    <row r="218" spans="1:10" x14ac:dyDescent="0.2">
      <c r="A218" s="216">
        <f t="shared" si="26"/>
        <v>72</v>
      </c>
      <c r="B218" s="215"/>
      <c r="C218" s="85">
        <f t="shared" si="24"/>
        <v>0</v>
      </c>
      <c r="D218" s="183">
        <f t="shared" si="25"/>
        <v>0</v>
      </c>
      <c r="E218" s="134"/>
      <c r="F218" s="180"/>
      <c r="G218" s="179"/>
      <c r="H218" s="184"/>
      <c r="I218" s="171"/>
      <c r="J218" s="179"/>
    </row>
    <row r="219" spans="1:10" x14ac:dyDescent="0.2">
      <c r="A219" s="216">
        <f t="shared" si="26"/>
        <v>72</v>
      </c>
      <c r="B219" s="215"/>
      <c r="C219" s="85">
        <f t="shared" si="24"/>
        <v>0</v>
      </c>
      <c r="D219" s="183">
        <f t="shared" si="25"/>
        <v>0</v>
      </c>
      <c r="E219" s="134"/>
      <c r="F219" s="180"/>
      <c r="G219" s="179"/>
      <c r="H219" s="184"/>
      <c r="I219" s="171"/>
      <c r="J219" s="179"/>
    </row>
    <row r="220" spans="1:10" x14ac:dyDescent="0.2">
      <c r="A220" s="216">
        <f t="shared" si="26"/>
        <v>72</v>
      </c>
      <c r="B220" s="215"/>
      <c r="C220" s="85">
        <f t="shared" si="24"/>
        <v>0</v>
      </c>
      <c r="D220" s="183">
        <f t="shared" si="25"/>
        <v>0</v>
      </c>
      <c r="E220" s="134"/>
      <c r="F220" s="180"/>
      <c r="G220" s="179"/>
      <c r="H220" s="184"/>
      <c r="I220" s="171"/>
      <c r="J220" s="179"/>
    </row>
    <row r="221" spans="1:10" x14ac:dyDescent="0.2">
      <c r="A221" s="216">
        <f t="shared" si="26"/>
        <v>72</v>
      </c>
      <c r="B221" s="215"/>
      <c r="C221" s="85">
        <f t="shared" si="24"/>
        <v>0</v>
      </c>
      <c r="D221" s="183">
        <f t="shared" si="25"/>
        <v>0</v>
      </c>
      <c r="E221" s="134"/>
      <c r="F221" s="180"/>
      <c r="G221" s="179"/>
      <c r="H221" s="184"/>
      <c r="I221" s="171"/>
      <c r="J221" s="179"/>
    </row>
  </sheetData>
  <printOptions horizontalCentered="1"/>
  <pageMargins left="0.19685039370078741" right="0.19685039370078741" top="0.19685039370078741" bottom="0.19685039370078741" header="0.11811023622047245" footer="0"/>
  <pageSetup paperSize="5" scale="7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07"/>
  <sheetViews>
    <sheetView workbookViewId="0">
      <selection activeCell="B24" sqref="B24"/>
    </sheetView>
  </sheetViews>
  <sheetFormatPr baseColWidth="10" defaultRowHeight="12.75" x14ac:dyDescent="0.2"/>
  <cols>
    <col min="1" max="1" width="18.5703125" customWidth="1"/>
    <col min="2" max="2" width="62.28515625" customWidth="1"/>
    <col min="3" max="3" width="18.28515625" customWidth="1"/>
    <col min="4" max="4" width="17.85546875" customWidth="1"/>
    <col min="5" max="5" width="22" customWidth="1"/>
    <col min="6" max="6" width="22.140625" customWidth="1"/>
  </cols>
  <sheetData>
    <row r="1" spans="1:6" ht="23.1" customHeight="1" x14ac:dyDescent="0.2">
      <c r="A1" s="611" t="s">
        <v>1302</v>
      </c>
      <c r="B1" s="611"/>
      <c r="C1" s="611"/>
      <c r="D1" s="611"/>
      <c r="E1" s="611"/>
      <c r="F1" s="611"/>
    </row>
    <row r="2" spans="1:6" ht="23.1" customHeight="1" x14ac:dyDescent="0.2">
      <c r="A2" s="109" t="s">
        <v>1235</v>
      </c>
      <c r="B2" s="108" t="str">
        <f>Obra</f>
        <v>BARRIO JOSÉ AMÉRICO GRIMALT - SECTOR B</v>
      </c>
      <c r="C2" s="185"/>
      <c r="D2" s="110"/>
      <c r="E2" s="110"/>
      <c r="F2" s="110"/>
    </row>
    <row r="3" spans="1:6" ht="23.1" customHeight="1" x14ac:dyDescent="0.2">
      <c r="A3" s="109" t="s">
        <v>1238</v>
      </c>
      <c r="B3" s="108" t="str">
        <f>Ubicación</f>
        <v>DEPTO. ULLÚM</v>
      </c>
      <c r="C3" s="110"/>
      <c r="D3" s="110"/>
      <c r="E3" s="110"/>
      <c r="F3" s="110"/>
    </row>
    <row r="4" spans="1:6" ht="23.1" customHeight="1" x14ac:dyDescent="0.2">
      <c r="A4" s="109" t="s">
        <v>1128</v>
      </c>
      <c r="B4" s="116" t="s">
        <v>1303</v>
      </c>
      <c r="C4" s="109"/>
      <c r="D4" s="110"/>
      <c r="E4" s="110"/>
      <c r="F4" s="110"/>
    </row>
    <row r="5" spans="1:6" ht="23.1" customHeight="1" x14ac:dyDescent="0.2">
      <c r="A5" s="109" t="s">
        <v>1159</v>
      </c>
      <c r="B5" s="457"/>
      <c r="C5" s="109"/>
      <c r="D5" s="110"/>
      <c r="E5" s="110"/>
      <c r="F5" s="110"/>
    </row>
    <row r="6" spans="1:6" ht="23.1" customHeight="1" x14ac:dyDescent="0.2">
      <c r="A6" s="165"/>
      <c r="B6" s="455"/>
      <c r="C6" s="165"/>
      <c r="D6" s="165"/>
      <c r="E6" s="165"/>
      <c r="F6" s="165"/>
    </row>
    <row r="7" spans="1:6" ht="23.1" customHeight="1" x14ac:dyDescent="0.2">
      <c r="A7" s="612" t="s">
        <v>1105</v>
      </c>
      <c r="B7" s="614" t="s">
        <v>0</v>
      </c>
      <c r="C7" s="612" t="s">
        <v>1</v>
      </c>
      <c r="D7" s="612" t="s">
        <v>2</v>
      </c>
      <c r="E7" s="612" t="s">
        <v>1151</v>
      </c>
      <c r="F7" s="612" t="s">
        <v>1161</v>
      </c>
    </row>
    <row r="8" spans="1:6" ht="23.1" customHeight="1" x14ac:dyDescent="0.2">
      <c r="A8" s="613"/>
      <c r="B8" s="615"/>
      <c r="C8" s="613"/>
      <c r="D8" s="613"/>
      <c r="E8" s="613"/>
      <c r="F8" s="613"/>
    </row>
    <row r="9" spans="1:6" ht="23.1" customHeight="1" x14ac:dyDescent="0.2">
      <c r="A9" s="240"/>
      <c r="B9" s="423"/>
      <c r="C9" s="174"/>
      <c r="D9" s="174"/>
      <c r="E9" s="242"/>
      <c r="F9" s="243"/>
    </row>
    <row r="10" spans="1:6" ht="23.1" customHeight="1" x14ac:dyDescent="0.2">
      <c r="A10" s="274" t="s">
        <v>1125</v>
      </c>
      <c r="B10" s="275" t="str">
        <f t="shared" ref="B10:B29" si="0">IFERROR(VLOOKUP(A10,Tabla_Datos,2,FALSE),0)</f>
        <v>VIVIENDA</v>
      </c>
      <c r="C10" s="276"/>
      <c r="D10" s="277"/>
      <c r="E10" s="278"/>
      <c r="F10" s="278"/>
    </row>
    <row r="11" spans="1:6" ht="23.1" customHeight="1" x14ac:dyDescent="0.2">
      <c r="A11" s="461"/>
      <c r="B11" s="270">
        <f t="shared" si="0"/>
        <v>0</v>
      </c>
      <c r="C11" s="271">
        <f t="shared" ref="C11:C29" si="1">IFERROR(VLOOKUP(A11,Tabla_Datos,3,FALSE),0)</f>
        <v>0</v>
      </c>
      <c r="D11" s="279"/>
      <c r="E11" s="281">
        <f t="shared" ref="E11:E29" si="2">IFERROR(VLOOKUP(A11,Tabla_Comp_Presup,7,FALSE),0)</f>
        <v>0</v>
      </c>
      <c r="F11" s="281">
        <f t="shared" ref="F11:F29" si="3">ROUND(D11*E11,15)</f>
        <v>0</v>
      </c>
    </row>
    <row r="12" spans="1:6" ht="23.1" customHeight="1" x14ac:dyDescent="0.2">
      <c r="A12" s="461"/>
      <c r="B12" s="270">
        <f t="shared" si="0"/>
        <v>0</v>
      </c>
      <c r="C12" s="271">
        <f t="shared" si="1"/>
        <v>0</v>
      </c>
      <c r="D12" s="279"/>
      <c r="E12" s="281">
        <f t="shared" si="2"/>
        <v>0</v>
      </c>
      <c r="F12" s="281">
        <f t="shared" si="3"/>
        <v>0</v>
      </c>
    </row>
    <row r="13" spans="1:6" ht="23.1" customHeight="1" x14ac:dyDescent="0.2">
      <c r="A13" s="461"/>
      <c r="B13" s="270">
        <f t="shared" si="0"/>
        <v>0</v>
      </c>
      <c r="C13" s="271">
        <f t="shared" si="1"/>
        <v>0</v>
      </c>
      <c r="D13" s="279"/>
      <c r="E13" s="281">
        <f t="shared" si="2"/>
        <v>0</v>
      </c>
      <c r="F13" s="281">
        <f t="shared" si="3"/>
        <v>0</v>
      </c>
    </row>
    <row r="14" spans="1:6" ht="23.1" customHeight="1" x14ac:dyDescent="0.2">
      <c r="A14" s="461"/>
      <c r="B14" s="270">
        <f t="shared" si="0"/>
        <v>0</v>
      </c>
      <c r="C14" s="271">
        <f t="shared" si="1"/>
        <v>0</v>
      </c>
      <c r="D14" s="279"/>
      <c r="E14" s="281">
        <f t="shared" si="2"/>
        <v>0</v>
      </c>
      <c r="F14" s="281">
        <f t="shared" si="3"/>
        <v>0</v>
      </c>
    </row>
    <row r="15" spans="1:6" ht="23.1" customHeight="1" x14ac:dyDescent="0.2">
      <c r="A15" s="461"/>
      <c r="B15" s="270">
        <f t="shared" si="0"/>
        <v>0</v>
      </c>
      <c r="C15" s="271">
        <f t="shared" si="1"/>
        <v>0</v>
      </c>
      <c r="D15" s="279"/>
      <c r="E15" s="281">
        <f t="shared" si="2"/>
        <v>0</v>
      </c>
      <c r="F15" s="281">
        <f t="shared" si="3"/>
        <v>0</v>
      </c>
    </row>
    <row r="16" spans="1:6" ht="23.1" customHeight="1" x14ac:dyDescent="0.2">
      <c r="A16" s="461"/>
      <c r="B16" s="270">
        <f t="shared" si="0"/>
        <v>0</v>
      </c>
      <c r="C16" s="271">
        <f t="shared" si="1"/>
        <v>0</v>
      </c>
      <c r="D16" s="279"/>
      <c r="E16" s="281">
        <f t="shared" si="2"/>
        <v>0</v>
      </c>
      <c r="F16" s="281">
        <f t="shared" si="3"/>
        <v>0</v>
      </c>
    </row>
    <row r="17" spans="1:6" ht="23.1" customHeight="1" x14ac:dyDescent="0.2">
      <c r="A17" s="461"/>
      <c r="B17" s="270">
        <f t="shared" si="0"/>
        <v>0</v>
      </c>
      <c r="C17" s="271">
        <f t="shared" si="1"/>
        <v>0</v>
      </c>
      <c r="D17" s="279"/>
      <c r="E17" s="281">
        <f t="shared" si="2"/>
        <v>0</v>
      </c>
      <c r="F17" s="281">
        <f>ROUND(D17*E17,15)</f>
        <v>0</v>
      </c>
    </row>
    <row r="18" spans="1:6" ht="23.1" customHeight="1" x14ac:dyDescent="0.2">
      <c r="A18" s="461"/>
      <c r="B18" s="270">
        <f t="shared" si="0"/>
        <v>0</v>
      </c>
      <c r="C18" s="271">
        <f t="shared" si="1"/>
        <v>0</v>
      </c>
      <c r="D18" s="279"/>
      <c r="E18" s="281">
        <f t="shared" si="2"/>
        <v>0</v>
      </c>
      <c r="F18" s="281">
        <f>ROUND(D18*E18,15)</f>
        <v>0</v>
      </c>
    </row>
    <row r="19" spans="1:6" ht="23.1" customHeight="1" x14ac:dyDescent="0.2">
      <c r="A19" s="461"/>
      <c r="B19" s="270">
        <f t="shared" si="0"/>
        <v>0</v>
      </c>
      <c r="C19" s="271">
        <f t="shared" si="1"/>
        <v>0</v>
      </c>
      <c r="D19" s="279"/>
      <c r="E19" s="281">
        <f t="shared" si="2"/>
        <v>0</v>
      </c>
      <c r="F19" s="281">
        <f t="shared" si="3"/>
        <v>0</v>
      </c>
    </row>
    <row r="20" spans="1:6" ht="23.1" customHeight="1" x14ac:dyDescent="0.2">
      <c r="A20" s="461"/>
      <c r="B20" s="270">
        <f>IFERROR(VLOOKUP(A20,Tabla_Datos,2,FALSE),0)</f>
        <v>0</v>
      </c>
      <c r="C20" s="271">
        <f>IFERROR(VLOOKUP(A20,Tabla_Datos,3,FALSE),0)</f>
        <v>0</v>
      </c>
      <c r="D20" s="279"/>
      <c r="E20" s="281">
        <f>IFERROR(VLOOKUP(A20,Tabla_Comp_Presup,7,FALSE),0)</f>
        <v>0</v>
      </c>
      <c r="F20" s="281">
        <f>ROUND(D20*E20,15)</f>
        <v>0</v>
      </c>
    </row>
    <row r="21" spans="1:6" ht="23.1" customHeight="1" x14ac:dyDescent="0.2">
      <c r="A21" s="461"/>
      <c r="B21" s="270">
        <f>IFERROR(VLOOKUP(A21,Tabla_Datos,2,FALSE),0)</f>
        <v>0</v>
      </c>
      <c r="C21" s="271">
        <f>IFERROR(VLOOKUP(A21,Tabla_Datos,3,FALSE),0)</f>
        <v>0</v>
      </c>
      <c r="D21" s="279"/>
      <c r="E21" s="281">
        <f>IFERROR(VLOOKUP(A21,Tabla_Comp_Presup,7,FALSE),0)</f>
        <v>0</v>
      </c>
      <c r="F21" s="281">
        <f>ROUND(D21*E21,15)</f>
        <v>0</v>
      </c>
    </row>
    <row r="22" spans="1:6" ht="23.1" customHeight="1" x14ac:dyDescent="0.2">
      <c r="A22" s="461"/>
      <c r="B22" s="270">
        <f>IFERROR(VLOOKUP(A22,Tabla_Datos,2,FALSE),0)</f>
        <v>0</v>
      </c>
      <c r="C22" s="271">
        <f>IFERROR(VLOOKUP(A22,Tabla_Datos,3,FALSE),0)</f>
        <v>0</v>
      </c>
      <c r="D22" s="279"/>
      <c r="E22" s="281">
        <f>IFERROR(VLOOKUP(A22,Tabla_Comp_Presup,7,FALSE),0)</f>
        <v>0</v>
      </c>
      <c r="F22" s="281">
        <f>ROUND(D22*E22,15)</f>
        <v>0</v>
      </c>
    </row>
    <row r="23" spans="1:6" ht="23.1" customHeight="1" x14ac:dyDescent="0.2">
      <c r="A23" s="461"/>
      <c r="B23" s="270">
        <f t="shared" si="0"/>
        <v>0</v>
      </c>
      <c r="C23" s="271">
        <f t="shared" si="1"/>
        <v>0</v>
      </c>
      <c r="D23" s="279"/>
      <c r="E23" s="281">
        <f t="shared" si="2"/>
        <v>0</v>
      </c>
      <c r="F23" s="281">
        <f t="shared" si="3"/>
        <v>0</v>
      </c>
    </row>
    <row r="24" spans="1:6" ht="23.1" customHeight="1" x14ac:dyDescent="0.2">
      <c r="A24" s="461"/>
      <c r="B24" s="270">
        <f t="shared" si="0"/>
        <v>0</v>
      </c>
      <c r="C24" s="271">
        <f t="shared" si="1"/>
        <v>0</v>
      </c>
      <c r="D24" s="279"/>
      <c r="E24" s="281">
        <f t="shared" si="2"/>
        <v>0</v>
      </c>
      <c r="F24" s="281">
        <f t="shared" si="3"/>
        <v>0</v>
      </c>
    </row>
    <row r="25" spans="1:6" ht="23.1" customHeight="1" x14ac:dyDescent="0.2">
      <c r="A25" s="461"/>
      <c r="B25" s="270">
        <f t="shared" si="0"/>
        <v>0</v>
      </c>
      <c r="C25" s="271">
        <f t="shared" si="1"/>
        <v>0</v>
      </c>
      <c r="D25" s="279"/>
      <c r="E25" s="281">
        <f t="shared" si="2"/>
        <v>0</v>
      </c>
      <c r="F25" s="281">
        <f t="shared" si="3"/>
        <v>0</v>
      </c>
    </row>
    <row r="26" spans="1:6" ht="23.1" customHeight="1" x14ac:dyDescent="0.2">
      <c r="A26" s="461"/>
      <c r="B26" s="270">
        <f t="shared" si="0"/>
        <v>0</v>
      </c>
      <c r="C26" s="271">
        <f t="shared" si="1"/>
        <v>0</v>
      </c>
      <c r="D26" s="279"/>
      <c r="E26" s="281">
        <f t="shared" si="2"/>
        <v>0</v>
      </c>
      <c r="F26" s="281">
        <f t="shared" si="3"/>
        <v>0</v>
      </c>
    </row>
    <row r="27" spans="1:6" ht="23.1" customHeight="1" x14ac:dyDescent="0.2">
      <c r="A27" s="461"/>
      <c r="B27" s="270">
        <f t="shared" si="0"/>
        <v>0</v>
      </c>
      <c r="C27" s="271">
        <f t="shared" si="1"/>
        <v>0</v>
      </c>
      <c r="D27" s="279"/>
      <c r="E27" s="281">
        <f t="shared" si="2"/>
        <v>0</v>
      </c>
      <c r="F27" s="281">
        <f t="shared" si="3"/>
        <v>0</v>
      </c>
    </row>
    <row r="28" spans="1:6" ht="23.1" customHeight="1" x14ac:dyDescent="0.2">
      <c r="A28" s="461"/>
      <c r="B28" s="270">
        <f t="shared" si="0"/>
        <v>0</v>
      </c>
      <c r="C28" s="271">
        <f t="shared" si="1"/>
        <v>0</v>
      </c>
      <c r="D28" s="279"/>
      <c r="E28" s="281">
        <f t="shared" si="2"/>
        <v>0</v>
      </c>
      <c r="F28" s="281">
        <f t="shared" si="3"/>
        <v>0</v>
      </c>
    </row>
    <row r="29" spans="1:6" ht="23.1" customHeight="1" x14ac:dyDescent="0.2">
      <c r="A29" s="461"/>
      <c r="B29" s="270">
        <f t="shared" si="0"/>
        <v>0</v>
      </c>
      <c r="C29" s="271">
        <f t="shared" si="1"/>
        <v>0</v>
      </c>
      <c r="D29" s="279"/>
      <c r="E29" s="281">
        <f t="shared" si="2"/>
        <v>0</v>
      </c>
      <c r="F29" s="281">
        <f t="shared" si="3"/>
        <v>0</v>
      </c>
    </row>
    <row r="30" spans="1:6" ht="23.1" customHeight="1" x14ac:dyDescent="0.2">
      <c r="A30" s="461"/>
      <c r="B30" s="270">
        <f t="shared" ref="B30:B42" si="4">IFERROR(VLOOKUP(A30,Tabla_Datos,2,FALSE),0)</f>
        <v>0</v>
      </c>
      <c r="C30" s="271">
        <f t="shared" ref="C30:C42" si="5">IFERROR(VLOOKUP(A30,Tabla_Datos,3,FALSE),0)</f>
        <v>0</v>
      </c>
      <c r="D30" s="279"/>
      <c r="E30" s="281">
        <f t="shared" ref="E30:E42" si="6">IFERROR(VLOOKUP(A30,Tabla_Comp_Presup,7,FALSE),0)</f>
        <v>0</v>
      </c>
      <c r="F30" s="281">
        <f t="shared" ref="F30:F42" si="7">ROUND(D30*E30,15)</f>
        <v>0</v>
      </c>
    </row>
    <row r="31" spans="1:6" ht="23.1" customHeight="1" x14ac:dyDescent="0.2">
      <c r="A31" s="461"/>
      <c r="B31" s="270">
        <f t="shared" si="4"/>
        <v>0</v>
      </c>
      <c r="C31" s="271">
        <f t="shared" si="5"/>
        <v>0</v>
      </c>
      <c r="D31" s="279"/>
      <c r="E31" s="281">
        <f t="shared" si="6"/>
        <v>0</v>
      </c>
      <c r="F31" s="281">
        <f t="shared" si="7"/>
        <v>0</v>
      </c>
    </row>
    <row r="32" spans="1:6" ht="23.1" customHeight="1" x14ac:dyDescent="0.2">
      <c r="A32" s="461"/>
      <c r="B32" s="270">
        <f t="shared" si="4"/>
        <v>0</v>
      </c>
      <c r="C32" s="271">
        <f t="shared" si="5"/>
        <v>0</v>
      </c>
      <c r="D32" s="279"/>
      <c r="E32" s="281">
        <f t="shared" si="6"/>
        <v>0</v>
      </c>
      <c r="F32" s="281">
        <f t="shared" si="7"/>
        <v>0</v>
      </c>
    </row>
    <row r="33" spans="1:6" ht="23.1" customHeight="1" x14ac:dyDescent="0.2">
      <c r="A33" s="461"/>
      <c r="B33" s="270">
        <f t="shared" si="4"/>
        <v>0</v>
      </c>
      <c r="C33" s="271">
        <f t="shared" si="5"/>
        <v>0</v>
      </c>
      <c r="D33" s="279"/>
      <c r="E33" s="281">
        <f t="shared" si="6"/>
        <v>0</v>
      </c>
      <c r="F33" s="281">
        <f t="shared" si="7"/>
        <v>0</v>
      </c>
    </row>
    <row r="34" spans="1:6" ht="23.1" customHeight="1" x14ac:dyDescent="0.2">
      <c r="A34" s="461"/>
      <c r="B34" s="270">
        <f t="shared" si="4"/>
        <v>0</v>
      </c>
      <c r="C34" s="271">
        <f t="shared" si="5"/>
        <v>0</v>
      </c>
      <c r="D34" s="279"/>
      <c r="E34" s="281">
        <f t="shared" si="6"/>
        <v>0</v>
      </c>
      <c r="F34" s="281">
        <f t="shared" si="7"/>
        <v>0</v>
      </c>
    </row>
    <row r="35" spans="1:6" ht="23.1" customHeight="1" x14ac:dyDescent="0.2">
      <c r="A35" s="461"/>
      <c r="B35" s="270">
        <f t="shared" si="4"/>
        <v>0</v>
      </c>
      <c r="C35" s="271">
        <f t="shared" si="5"/>
        <v>0</v>
      </c>
      <c r="D35" s="279"/>
      <c r="E35" s="281">
        <f t="shared" si="6"/>
        <v>0</v>
      </c>
      <c r="F35" s="281">
        <f t="shared" si="7"/>
        <v>0</v>
      </c>
    </row>
    <row r="36" spans="1:6" ht="23.1" customHeight="1" x14ac:dyDescent="0.2">
      <c r="A36" s="461"/>
      <c r="B36" s="270">
        <f t="shared" si="4"/>
        <v>0</v>
      </c>
      <c r="C36" s="271">
        <f t="shared" si="5"/>
        <v>0</v>
      </c>
      <c r="D36" s="279"/>
      <c r="E36" s="281">
        <f t="shared" si="6"/>
        <v>0</v>
      </c>
      <c r="F36" s="281">
        <f t="shared" si="7"/>
        <v>0</v>
      </c>
    </row>
    <row r="37" spans="1:6" ht="23.1" customHeight="1" x14ac:dyDescent="0.2">
      <c r="A37" s="461"/>
      <c r="B37" s="270">
        <f t="shared" si="4"/>
        <v>0</v>
      </c>
      <c r="C37" s="271">
        <f t="shared" si="5"/>
        <v>0</v>
      </c>
      <c r="D37" s="279"/>
      <c r="E37" s="281">
        <f t="shared" si="6"/>
        <v>0</v>
      </c>
      <c r="F37" s="281">
        <f t="shared" si="7"/>
        <v>0</v>
      </c>
    </row>
    <row r="38" spans="1:6" ht="23.1" customHeight="1" x14ac:dyDescent="0.2">
      <c r="A38" s="461"/>
      <c r="B38" s="270">
        <f t="shared" si="4"/>
        <v>0</v>
      </c>
      <c r="C38" s="271">
        <f t="shared" si="5"/>
        <v>0</v>
      </c>
      <c r="D38" s="279"/>
      <c r="E38" s="281">
        <f t="shared" si="6"/>
        <v>0</v>
      </c>
      <c r="F38" s="281">
        <f t="shared" si="7"/>
        <v>0</v>
      </c>
    </row>
    <row r="39" spans="1:6" ht="23.1" customHeight="1" x14ac:dyDescent="0.2">
      <c r="A39" s="461"/>
      <c r="B39" s="270">
        <f t="shared" si="4"/>
        <v>0</v>
      </c>
      <c r="C39" s="271">
        <f t="shared" si="5"/>
        <v>0</v>
      </c>
      <c r="D39" s="279"/>
      <c r="E39" s="281">
        <f t="shared" si="6"/>
        <v>0</v>
      </c>
      <c r="F39" s="281">
        <f t="shared" si="7"/>
        <v>0</v>
      </c>
    </row>
    <row r="40" spans="1:6" ht="23.1" customHeight="1" x14ac:dyDescent="0.2">
      <c r="A40" s="461"/>
      <c r="B40" s="270">
        <f t="shared" si="4"/>
        <v>0</v>
      </c>
      <c r="C40" s="271">
        <f t="shared" si="5"/>
        <v>0</v>
      </c>
      <c r="D40" s="279"/>
      <c r="E40" s="281">
        <f t="shared" ca="1" si="6"/>
        <v>0</v>
      </c>
      <c r="F40" s="281">
        <f t="shared" ca="1" si="7"/>
        <v>0</v>
      </c>
    </row>
    <row r="41" spans="1:6" ht="23.1" customHeight="1" x14ac:dyDescent="0.2">
      <c r="A41" s="461"/>
      <c r="B41" s="270">
        <f t="shared" si="4"/>
        <v>0</v>
      </c>
      <c r="C41" s="271">
        <f t="shared" si="5"/>
        <v>0</v>
      </c>
      <c r="D41" s="279"/>
      <c r="E41" s="281">
        <f t="shared" si="6"/>
        <v>0</v>
      </c>
      <c r="F41" s="281">
        <f t="shared" si="7"/>
        <v>0</v>
      </c>
    </row>
    <row r="42" spans="1:6" ht="23.1" customHeight="1" x14ac:dyDescent="0.2">
      <c r="A42" s="461"/>
      <c r="B42" s="270">
        <f t="shared" si="4"/>
        <v>0</v>
      </c>
      <c r="C42" s="271">
        <f t="shared" si="5"/>
        <v>0</v>
      </c>
      <c r="D42" s="279"/>
      <c r="E42" s="281">
        <f t="shared" si="6"/>
        <v>0</v>
      </c>
      <c r="F42" s="281">
        <f t="shared" si="7"/>
        <v>0</v>
      </c>
    </row>
    <row r="43" spans="1:6" ht="23.1" customHeight="1" x14ac:dyDescent="0.2">
      <c r="A43" s="461"/>
      <c r="B43" s="270">
        <f>IFERROR(VLOOKUP(A43,Tabla_Datos,2,FALSE),0)</f>
        <v>0</v>
      </c>
      <c r="C43" s="271">
        <f>IFERROR(VLOOKUP(A43,Tabla_Datos,3,FALSE),0)</f>
        <v>0</v>
      </c>
      <c r="D43" s="279"/>
      <c r="E43" s="281">
        <f>IFERROR(VLOOKUP(A43,Tabla_Comp_Presup,7,FALSE),0)</f>
        <v>0</v>
      </c>
      <c r="F43" s="281">
        <f>ROUND(D43*E43,15)</f>
        <v>0</v>
      </c>
    </row>
    <row r="44" spans="1:6" ht="23.1" customHeight="1" x14ac:dyDescent="0.2">
      <c r="A44" s="461"/>
      <c r="B44" s="270">
        <f t="shared" ref="B44:B93" si="8">IFERROR(VLOOKUP(A44,Tabla_Datos,2,FALSE),0)</f>
        <v>0</v>
      </c>
      <c r="C44" s="271">
        <f t="shared" ref="C44:C93" si="9">IFERROR(VLOOKUP(A44,Tabla_Datos,3,FALSE),0)</f>
        <v>0</v>
      </c>
      <c r="D44" s="279"/>
      <c r="E44" s="281">
        <f t="shared" ref="E44:E93" si="10">IFERROR(VLOOKUP(A44,Tabla_Comp_Presup,7,FALSE),0)</f>
        <v>0</v>
      </c>
      <c r="F44" s="281">
        <f t="shared" ref="F44:F93" si="11">ROUND(D44*E44,15)</f>
        <v>0</v>
      </c>
    </row>
    <row r="45" spans="1:6" ht="23.1" customHeight="1" x14ac:dyDescent="0.2">
      <c r="A45" s="461"/>
      <c r="B45" s="270">
        <f t="shared" si="8"/>
        <v>0</v>
      </c>
      <c r="C45" s="271">
        <f t="shared" si="9"/>
        <v>0</v>
      </c>
      <c r="D45" s="279"/>
      <c r="E45" s="281">
        <f t="shared" si="10"/>
        <v>0</v>
      </c>
      <c r="F45" s="281">
        <f t="shared" si="11"/>
        <v>0</v>
      </c>
    </row>
    <row r="46" spans="1:6" ht="23.1" customHeight="1" x14ac:dyDescent="0.2">
      <c r="A46" s="461"/>
      <c r="B46" s="270">
        <f t="shared" si="8"/>
        <v>0</v>
      </c>
      <c r="C46" s="271">
        <f t="shared" si="9"/>
        <v>0</v>
      </c>
      <c r="D46" s="279"/>
      <c r="E46" s="281">
        <f t="shared" si="10"/>
        <v>0</v>
      </c>
      <c r="F46" s="281">
        <f t="shared" si="11"/>
        <v>0</v>
      </c>
    </row>
    <row r="47" spans="1:6" ht="23.1" customHeight="1" x14ac:dyDescent="0.2">
      <c r="A47" s="461"/>
      <c r="B47" s="270">
        <f t="shared" si="8"/>
        <v>0</v>
      </c>
      <c r="C47" s="271">
        <f t="shared" si="9"/>
        <v>0</v>
      </c>
      <c r="D47" s="279"/>
      <c r="E47" s="281">
        <f t="shared" si="10"/>
        <v>0</v>
      </c>
      <c r="F47" s="281">
        <f t="shared" si="11"/>
        <v>0</v>
      </c>
    </row>
    <row r="48" spans="1:6" ht="23.1" customHeight="1" x14ac:dyDescent="0.2">
      <c r="A48" s="461"/>
      <c r="B48" s="270">
        <f t="shared" si="8"/>
        <v>0</v>
      </c>
      <c r="C48" s="271">
        <f t="shared" si="9"/>
        <v>0</v>
      </c>
      <c r="D48" s="279"/>
      <c r="E48" s="281">
        <f t="shared" si="10"/>
        <v>0</v>
      </c>
      <c r="F48" s="281">
        <f t="shared" si="11"/>
        <v>0</v>
      </c>
    </row>
    <row r="49" spans="1:6" ht="23.1" customHeight="1" x14ac:dyDescent="0.2">
      <c r="A49" s="461"/>
      <c r="B49" s="270">
        <f t="shared" si="8"/>
        <v>0</v>
      </c>
      <c r="C49" s="271">
        <f t="shared" si="9"/>
        <v>0</v>
      </c>
      <c r="D49" s="279"/>
      <c r="E49" s="281">
        <f t="shared" si="10"/>
        <v>0</v>
      </c>
      <c r="F49" s="281">
        <f t="shared" si="11"/>
        <v>0</v>
      </c>
    </row>
    <row r="50" spans="1:6" ht="23.1" customHeight="1" x14ac:dyDescent="0.2">
      <c r="A50" s="461"/>
      <c r="B50" s="270">
        <f t="shared" si="8"/>
        <v>0</v>
      </c>
      <c r="C50" s="271">
        <f t="shared" si="9"/>
        <v>0</v>
      </c>
      <c r="D50" s="279"/>
      <c r="E50" s="281">
        <f t="shared" si="10"/>
        <v>0</v>
      </c>
      <c r="F50" s="281">
        <f t="shared" si="11"/>
        <v>0</v>
      </c>
    </row>
    <row r="51" spans="1:6" ht="23.1" customHeight="1" x14ac:dyDescent="0.2">
      <c r="A51" s="461"/>
      <c r="B51" s="270">
        <f t="shared" si="8"/>
        <v>0</v>
      </c>
      <c r="C51" s="271">
        <f t="shared" si="9"/>
        <v>0</v>
      </c>
      <c r="D51" s="279"/>
      <c r="E51" s="281">
        <f t="shared" si="10"/>
        <v>0</v>
      </c>
      <c r="F51" s="281">
        <f t="shared" si="11"/>
        <v>0</v>
      </c>
    </row>
    <row r="52" spans="1:6" ht="23.1" customHeight="1" x14ac:dyDescent="0.2">
      <c r="A52" s="461"/>
      <c r="B52" s="270">
        <f t="shared" si="8"/>
        <v>0</v>
      </c>
      <c r="C52" s="271">
        <f t="shared" si="9"/>
        <v>0</v>
      </c>
      <c r="D52" s="279"/>
      <c r="E52" s="281">
        <f t="shared" si="10"/>
        <v>0</v>
      </c>
      <c r="F52" s="281">
        <f t="shared" si="11"/>
        <v>0</v>
      </c>
    </row>
    <row r="53" spans="1:6" ht="23.1" customHeight="1" x14ac:dyDescent="0.2">
      <c r="A53" s="461"/>
      <c r="B53" s="270">
        <f t="shared" si="8"/>
        <v>0</v>
      </c>
      <c r="C53" s="271">
        <f t="shared" si="9"/>
        <v>0</v>
      </c>
      <c r="D53" s="279"/>
      <c r="E53" s="281">
        <f t="shared" si="10"/>
        <v>0</v>
      </c>
      <c r="F53" s="281">
        <f t="shared" si="11"/>
        <v>0</v>
      </c>
    </row>
    <row r="54" spans="1:6" ht="23.1" customHeight="1" x14ac:dyDescent="0.2">
      <c r="A54" s="461"/>
      <c r="B54" s="270">
        <f t="shared" si="8"/>
        <v>0</v>
      </c>
      <c r="C54" s="271">
        <f t="shared" si="9"/>
        <v>0</v>
      </c>
      <c r="D54" s="279"/>
      <c r="E54" s="281">
        <f t="shared" si="10"/>
        <v>0</v>
      </c>
      <c r="F54" s="281">
        <f t="shared" si="11"/>
        <v>0</v>
      </c>
    </row>
    <row r="55" spans="1:6" ht="23.1" customHeight="1" x14ac:dyDescent="0.2">
      <c r="A55" s="461"/>
      <c r="B55" s="270">
        <f t="shared" si="8"/>
        <v>0</v>
      </c>
      <c r="C55" s="271">
        <f t="shared" si="9"/>
        <v>0</v>
      </c>
      <c r="D55" s="279"/>
      <c r="E55" s="281">
        <f t="shared" si="10"/>
        <v>0</v>
      </c>
      <c r="F55" s="281">
        <f t="shared" si="11"/>
        <v>0</v>
      </c>
    </row>
    <row r="56" spans="1:6" ht="23.1" customHeight="1" x14ac:dyDescent="0.2">
      <c r="A56" s="461"/>
      <c r="B56" s="270">
        <f t="shared" si="8"/>
        <v>0</v>
      </c>
      <c r="C56" s="271">
        <f t="shared" si="9"/>
        <v>0</v>
      </c>
      <c r="D56" s="279"/>
      <c r="E56" s="281">
        <f t="shared" si="10"/>
        <v>0</v>
      </c>
      <c r="F56" s="281">
        <f t="shared" si="11"/>
        <v>0</v>
      </c>
    </row>
    <row r="57" spans="1:6" ht="23.1" customHeight="1" x14ac:dyDescent="0.2">
      <c r="A57" s="461"/>
      <c r="B57" s="270">
        <f t="shared" si="8"/>
        <v>0</v>
      </c>
      <c r="C57" s="271">
        <f t="shared" si="9"/>
        <v>0</v>
      </c>
      <c r="D57" s="279"/>
      <c r="E57" s="281">
        <f t="shared" si="10"/>
        <v>0</v>
      </c>
      <c r="F57" s="281">
        <f t="shared" si="11"/>
        <v>0</v>
      </c>
    </row>
    <row r="58" spans="1:6" ht="23.1" customHeight="1" x14ac:dyDescent="0.2">
      <c r="A58" s="461"/>
      <c r="B58" s="270">
        <f t="shared" si="8"/>
        <v>0</v>
      </c>
      <c r="C58" s="271">
        <f t="shared" si="9"/>
        <v>0</v>
      </c>
      <c r="D58" s="279"/>
      <c r="E58" s="281">
        <f t="shared" si="10"/>
        <v>0</v>
      </c>
      <c r="F58" s="281">
        <f t="shared" si="11"/>
        <v>0</v>
      </c>
    </row>
    <row r="59" spans="1:6" ht="23.1" customHeight="1" x14ac:dyDescent="0.2">
      <c r="A59" s="461"/>
      <c r="B59" s="270">
        <f t="shared" si="8"/>
        <v>0</v>
      </c>
      <c r="C59" s="271">
        <f t="shared" si="9"/>
        <v>0</v>
      </c>
      <c r="D59" s="279"/>
      <c r="E59" s="281">
        <f t="shared" si="10"/>
        <v>0</v>
      </c>
      <c r="F59" s="281">
        <f t="shared" si="11"/>
        <v>0</v>
      </c>
    </row>
    <row r="60" spans="1:6" ht="23.1" customHeight="1" x14ac:dyDescent="0.2">
      <c r="A60" s="461"/>
      <c r="B60" s="270">
        <f t="shared" si="8"/>
        <v>0</v>
      </c>
      <c r="C60" s="271">
        <f t="shared" si="9"/>
        <v>0</v>
      </c>
      <c r="D60" s="279"/>
      <c r="E60" s="281">
        <f t="shared" si="10"/>
        <v>0</v>
      </c>
      <c r="F60" s="281">
        <f t="shared" si="11"/>
        <v>0</v>
      </c>
    </row>
    <row r="61" spans="1:6" ht="23.1" customHeight="1" x14ac:dyDescent="0.2">
      <c r="A61" s="461"/>
      <c r="B61" s="270">
        <f t="shared" si="8"/>
        <v>0</v>
      </c>
      <c r="C61" s="271">
        <f t="shared" si="9"/>
        <v>0</v>
      </c>
      <c r="D61" s="279"/>
      <c r="E61" s="281">
        <f t="shared" si="10"/>
        <v>0</v>
      </c>
      <c r="F61" s="281">
        <f t="shared" si="11"/>
        <v>0</v>
      </c>
    </row>
    <row r="62" spans="1:6" ht="23.1" customHeight="1" x14ac:dyDescent="0.2">
      <c r="A62" s="461"/>
      <c r="B62" s="270">
        <f t="shared" si="8"/>
        <v>0</v>
      </c>
      <c r="C62" s="271">
        <f t="shared" si="9"/>
        <v>0</v>
      </c>
      <c r="D62" s="279"/>
      <c r="E62" s="281">
        <f t="shared" si="10"/>
        <v>0</v>
      </c>
      <c r="F62" s="281">
        <f t="shared" si="11"/>
        <v>0</v>
      </c>
    </row>
    <row r="63" spans="1:6" ht="23.1" customHeight="1" x14ac:dyDescent="0.2">
      <c r="A63" s="461"/>
      <c r="B63" s="270">
        <f t="shared" si="8"/>
        <v>0</v>
      </c>
      <c r="C63" s="271">
        <f t="shared" si="9"/>
        <v>0</v>
      </c>
      <c r="D63" s="279"/>
      <c r="E63" s="281">
        <f t="shared" si="10"/>
        <v>0</v>
      </c>
      <c r="F63" s="281">
        <f t="shared" si="11"/>
        <v>0</v>
      </c>
    </row>
    <row r="64" spans="1:6" ht="23.1" customHeight="1" x14ac:dyDescent="0.2">
      <c r="A64" s="461"/>
      <c r="B64" s="270">
        <f t="shared" si="8"/>
        <v>0</v>
      </c>
      <c r="C64" s="271">
        <f t="shared" si="9"/>
        <v>0</v>
      </c>
      <c r="D64" s="279"/>
      <c r="E64" s="281">
        <f t="shared" si="10"/>
        <v>0</v>
      </c>
      <c r="F64" s="281">
        <f t="shared" si="11"/>
        <v>0</v>
      </c>
    </row>
    <row r="65" spans="1:9" ht="23.1" customHeight="1" x14ac:dyDescent="0.2">
      <c r="A65" s="461"/>
      <c r="B65" s="270">
        <f t="shared" si="8"/>
        <v>0</v>
      </c>
      <c r="C65" s="271">
        <f t="shared" si="9"/>
        <v>0</v>
      </c>
      <c r="D65" s="279"/>
      <c r="E65" s="281">
        <f t="shared" si="10"/>
        <v>0</v>
      </c>
      <c r="F65" s="281">
        <f t="shared" si="11"/>
        <v>0</v>
      </c>
    </row>
    <row r="66" spans="1:9" ht="23.1" customHeight="1" x14ac:dyDescent="0.2">
      <c r="A66" s="461"/>
      <c r="B66" s="270">
        <f t="shared" si="8"/>
        <v>0</v>
      </c>
      <c r="C66" s="271">
        <f t="shared" si="9"/>
        <v>0</v>
      </c>
      <c r="D66" s="279"/>
      <c r="E66" s="281">
        <f t="shared" si="10"/>
        <v>0</v>
      </c>
      <c r="F66" s="281">
        <f t="shared" si="11"/>
        <v>0</v>
      </c>
    </row>
    <row r="67" spans="1:9" ht="23.1" customHeight="1" x14ac:dyDescent="0.2">
      <c r="A67" s="461"/>
      <c r="B67" s="270">
        <f t="shared" si="8"/>
        <v>0</v>
      </c>
      <c r="C67" s="271">
        <f t="shared" si="9"/>
        <v>0</v>
      </c>
      <c r="D67" s="279"/>
      <c r="E67" s="281">
        <f t="shared" si="10"/>
        <v>0</v>
      </c>
      <c r="F67" s="281">
        <f t="shared" si="11"/>
        <v>0</v>
      </c>
    </row>
    <row r="68" spans="1:9" ht="23.1" customHeight="1" x14ac:dyDescent="0.2">
      <c r="A68" s="461"/>
      <c r="B68" s="270">
        <f t="shared" si="8"/>
        <v>0</v>
      </c>
      <c r="C68" s="271">
        <f t="shared" si="9"/>
        <v>0</v>
      </c>
      <c r="D68" s="279"/>
      <c r="E68" s="281">
        <f t="shared" si="10"/>
        <v>0</v>
      </c>
      <c r="F68" s="281">
        <f t="shared" si="11"/>
        <v>0</v>
      </c>
    </row>
    <row r="69" spans="1:9" ht="23.1" customHeight="1" x14ac:dyDescent="0.2">
      <c r="A69" s="461"/>
      <c r="B69" s="270">
        <f t="shared" si="8"/>
        <v>0</v>
      </c>
      <c r="C69" s="271">
        <f t="shared" si="9"/>
        <v>0</v>
      </c>
      <c r="D69" s="279"/>
      <c r="E69" s="281">
        <f t="shared" si="10"/>
        <v>0</v>
      </c>
      <c r="F69" s="281">
        <f t="shared" si="11"/>
        <v>0</v>
      </c>
    </row>
    <row r="70" spans="1:9" ht="23.1" customHeight="1" x14ac:dyDescent="0.2">
      <c r="A70" s="461"/>
      <c r="B70" s="270">
        <f t="shared" si="8"/>
        <v>0</v>
      </c>
      <c r="C70" s="271">
        <f t="shared" si="9"/>
        <v>0</v>
      </c>
      <c r="D70" s="279"/>
      <c r="E70" s="281">
        <f t="shared" si="10"/>
        <v>0</v>
      </c>
      <c r="F70" s="281">
        <f t="shared" si="11"/>
        <v>0</v>
      </c>
    </row>
    <row r="71" spans="1:9" ht="23.1" customHeight="1" x14ac:dyDescent="0.2">
      <c r="A71" s="461"/>
      <c r="B71" s="270">
        <f t="shared" si="8"/>
        <v>0</v>
      </c>
      <c r="C71" s="271">
        <f t="shared" si="9"/>
        <v>0</v>
      </c>
      <c r="D71" s="279"/>
      <c r="E71" s="281">
        <f t="shared" si="10"/>
        <v>0</v>
      </c>
      <c r="F71" s="281">
        <f t="shared" si="11"/>
        <v>0</v>
      </c>
    </row>
    <row r="72" spans="1:9" ht="23.1" customHeight="1" x14ac:dyDescent="0.2">
      <c r="A72" s="461"/>
      <c r="B72" s="270">
        <f t="shared" si="8"/>
        <v>0</v>
      </c>
      <c r="C72" s="271">
        <f t="shared" si="9"/>
        <v>0</v>
      </c>
      <c r="D72" s="279"/>
      <c r="E72" s="281">
        <f t="shared" si="10"/>
        <v>0</v>
      </c>
      <c r="F72" s="281">
        <f t="shared" si="11"/>
        <v>0</v>
      </c>
    </row>
    <row r="73" spans="1:9" ht="23.1" customHeight="1" x14ac:dyDescent="0.2">
      <c r="A73" s="461"/>
      <c r="B73" s="270">
        <f>IFERROR(VLOOKUP(A73,Tabla_Datos,2,FALSE),0)</f>
        <v>0</v>
      </c>
      <c r="C73" s="271">
        <f>IFERROR(VLOOKUP(A73,Tabla_Datos,3,FALSE),0)</f>
        <v>0</v>
      </c>
      <c r="D73" s="279"/>
      <c r="E73" s="281">
        <f>IFERROR(VLOOKUP(A73,Tabla_Comp_Presup,7,FALSE),0)</f>
        <v>0</v>
      </c>
      <c r="F73" s="281">
        <f>ROUND(D73*E73,15)</f>
        <v>0</v>
      </c>
    </row>
    <row r="74" spans="1:9" ht="23.1" customHeight="1" x14ac:dyDescent="0.2">
      <c r="A74" s="461"/>
      <c r="B74" s="270">
        <f t="shared" si="8"/>
        <v>0</v>
      </c>
      <c r="C74" s="271">
        <f t="shared" si="9"/>
        <v>0</v>
      </c>
      <c r="D74" s="279"/>
      <c r="E74" s="281">
        <f t="shared" si="10"/>
        <v>0</v>
      </c>
      <c r="F74" s="281">
        <f t="shared" si="11"/>
        <v>0</v>
      </c>
      <c r="G74" s="474"/>
      <c r="H74" s="474"/>
      <c r="I74" s="474"/>
    </row>
    <row r="75" spans="1:9" ht="23.1" customHeight="1" x14ac:dyDescent="0.2">
      <c r="A75" s="461"/>
      <c r="B75" s="270">
        <f t="shared" si="8"/>
        <v>0</v>
      </c>
      <c r="C75" s="271">
        <f t="shared" si="9"/>
        <v>0</v>
      </c>
      <c r="D75" s="279"/>
      <c r="E75" s="281">
        <f t="shared" ca="1" si="10"/>
        <v>0</v>
      </c>
      <c r="F75" s="281">
        <f t="shared" ca="1" si="11"/>
        <v>0</v>
      </c>
    </row>
    <row r="76" spans="1:9" ht="23.1" customHeight="1" x14ac:dyDescent="0.2">
      <c r="A76" s="461"/>
      <c r="B76" s="270">
        <f t="shared" si="8"/>
        <v>0</v>
      </c>
      <c r="C76" s="271">
        <f t="shared" si="9"/>
        <v>0</v>
      </c>
      <c r="D76" s="279"/>
      <c r="E76" s="281">
        <f t="shared" si="10"/>
        <v>0</v>
      </c>
      <c r="F76" s="281">
        <f t="shared" si="11"/>
        <v>0</v>
      </c>
    </row>
    <row r="77" spans="1:9" ht="23.1" customHeight="1" x14ac:dyDescent="0.2">
      <c r="A77" s="461"/>
      <c r="B77" s="270">
        <f>IFERROR(VLOOKUP(A77,Tabla_Datos,2,FALSE),0)</f>
        <v>0</v>
      </c>
      <c r="C77" s="271">
        <f>IFERROR(VLOOKUP(A77,Tabla_Datos,3,FALSE),0)</f>
        <v>0</v>
      </c>
      <c r="D77" s="279"/>
      <c r="E77" s="281">
        <f>IFERROR(VLOOKUP(A77,Tabla_Comp_Presup,7,FALSE),0)</f>
        <v>0</v>
      </c>
      <c r="F77" s="281">
        <f>ROUND(D77*E77,15)</f>
        <v>0</v>
      </c>
    </row>
    <row r="78" spans="1:9" ht="23.1" customHeight="1" x14ac:dyDescent="0.2">
      <c r="A78" s="461"/>
      <c r="B78" s="270">
        <f>IFERROR(VLOOKUP(A78,Tabla_Datos,2,FALSE),0)</f>
        <v>0</v>
      </c>
      <c r="C78" s="271">
        <f>IFERROR(VLOOKUP(A78,Tabla_Datos,3,FALSE),0)</f>
        <v>0</v>
      </c>
      <c r="D78" s="279"/>
      <c r="E78" s="281">
        <f>IFERROR(VLOOKUP(A78,Tabla_Comp_Presup,7,FALSE),0)</f>
        <v>0</v>
      </c>
      <c r="F78" s="281">
        <f>ROUND(D78*E78,15)</f>
        <v>0</v>
      </c>
    </row>
    <row r="79" spans="1:9" ht="23.1" customHeight="1" x14ac:dyDescent="0.2">
      <c r="A79" s="461"/>
      <c r="B79" s="270">
        <f t="shared" si="8"/>
        <v>0</v>
      </c>
      <c r="C79" s="271">
        <f t="shared" si="9"/>
        <v>0</v>
      </c>
      <c r="D79" s="279"/>
      <c r="E79" s="281">
        <f t="shared" si="10"/>
        <v>0</v>
      </c>
      <c r="F79" s="281">
        <f t="shared" si="11"/>
        <v>0</v>
      </c>
    </row>
    <row r="80" spans="1:9" ht="23.1" customHeight="1" x14ac:dyDescent="0.2">
      <c r="A80" s="461"/>
      <c r="B80" s="270">
        <f t="shared" si="8"/>
        <v>0</v>
      </c>
      <c r="C80" s="271">
        <f t="shared" si="9"/>
        <v>0</v>
      </c>
      <c r="D80" s="279"/>
      <c r="E80" s="281">
        <f t="shared" si="10"/>
        <v>0</v>
      </c>
      <c r="F80" s="281">
        <f t="shared" si="11"/>
        <v>0</v>
      </c>
    </row>
    <row r="81" spans="1:6" ht="23.1" customHeight="1" x14ac:dyDescent="0.2">
      <c r="A81" s="461"/>
      <c r="B81" s="270">
        <f t="shared" si="8"/>
        <v>0</v>
      </c>
      <c r="C81" s="271">
        <f t="shared" si="9"/>
        <v>0</v>
      </c>
      <c r="D81" s="279"/>
      <c r="E81" s="281">
        <f t="shared" si="10"/>
        <v>0</v>
      </c>
      <c r="F81" s="281">
        <f t="shared" si="11"/>
        <v>0</v>
      </c>
    </row>
    <row r="82" spans="1:6" ht="23.1" customHeight="1" x14ac:dyDescent="0.2">
      <c r="A82" s="461"/>
      <c r="B82" s="270">
        <f t="shared" si="8"/>
        <v>0</v>
      </c>
      <c r="C82" s="271">
        <f t="shared" si="9"/>
        <v>0</v>
      </c>
      <c r="D82" s="279"/>
      <c r="E82" s="281">
        <f t="shared" si="10"/>
        <v>0</v>
      </c>
      <c r="F82" s="281">
        <f t="shared" si="11"/>
        <v>0</v>
      </c>
    </row>
    <row r="83" spans="1:6" ht="23.1" customHeight="1" x14ac:dyDescent="0.2">
      <c r="A83" s="461"/>
      <c r="B83" s="270">
        <f t="shared" si="8"/>
        <v>0</v>
      </c>
      <c r="C83" s="271">
        <f t="shared" si="9"/>
        <v>0</v>
      </c>
      <c r="D83" s="279"/>
      <c r="E83" s="281">
        <f t="shared" si="10"/>
        <v>0</v>
      </c>
      <c r="F83" s="281">
        <f t="shared" si="11"/>
        <v>0</v>
      </c>
    </row>
    <row r="84" spans="1:6" ht="23.1" customHeight="1" x14ac:dyDescent="0.2">
      <c r="A84" s="461"/>
      <c r="B84" s="270">
        <f t="shared" si="8"/>
        <v>0</v>
      </c>
      <c r="C84" s="271">
        <f t="shared" si="9"/>
        <v>0</v>
      </c>
      <c r="D84" s="279"/>
      <c r="E84" s="281">
        <f t="shared" si="10"/>
        <v>0</v>
      </c>
      <c r="F84" s="281">
        <f t="shared" si="11"/>
        <v>0</v>
      </c>
    </row>
    <row r="85" spans="1:6" ht="23.1" customHeight="1" x14ac:dyDescent="0.2">
      <c r="A85" s="461"/>
      <c r="B85" s="270">
        <f t="shared" si="8"/>
        <v>0</v>
      </c>
      <c r="C85" s="271">
        <f t="shared" si="9"/>
        <v>0</v>
      </c>
      <c r="D85" s="279"/>
      <c r="E85" s="281">
        <f t="shared" si="10"/>
        <v>0</v>
      </c>
      <c r="F85" s="281">
        <f t="shared" si="11"/>
        <v>0</v>
      </c>
    </row>
    <row r="86" spans="1:6" ht="23.1" customHeight="1" x14ac:dyDescent="0.2">
      <c r="A86" s="461"/>
      <c r="B86" s="270">
        <f t="shared" si="8"/>
        <v>0</v>
      </c>
      <c r="C86" s="271">
        <f t="shared" si="9"/>
        <v>0</v>
      </c>
      <c r="D86" s="279"/>
      <c r="E86" s="281">
        <f t="shared" si="10"/>
        <v>0</v>
      </c>
      <c r="F86" s="281">
        <f t="shared" si="11"/>
        <v>0</v>
      </c>
    </row>
    <row r="87" spans="1:6" ht="23.1" customHeight="1" x14ac:dyDescent="0.2">
      <c r="A87" s="461"/>
      <c r="B87" s="270">
        <f t="shared" si="8"/>
        <v>0</v>
      </c>
      <c r="C87" s="271">
        <f t="shared" si="9"/>
        <v>0</v>
      </c>
      <c r="D87" s="279"/>
      <c r="E87" s="281">
        <f t="shared" si="10"/>
        <v>0</v>
      </c>
      <c r="F87" s="281">
        <f t="shared" si="11"/>
        <v>0</v>
      </c>
    </row>
    <row r="88" spans="1:6" ht="23.1" customHeight="1" x14ac:dyDescent="0.2">
      <c r="A88" s="461"/>
      <c r="B88" s="270">
        <f t="shared" si="8"/>
        <v>0</v>
      </c>
      <c r="C88" s="271">
        <f t="shared" si="9"/>
        <v>0</v>
      </c>
      <c r="D88" s="279"/>
      <c r="E88" s="281">
        <f t="shared" si="10"/>
        <v>0</v>
      </c>
      <c r="F88" s="281">
        <f t="shared" si="11"/>
        <v>0</v>
      </c>
    </row>
    <row r="89" spans="1:6" ht="23.1" customHeight="1" x14ac:dyDescent="0.2">
      <c r="A89" s="461"/>
      <c r="B89" s="270">
        <f t="shared" si="8"/>
        <v>0</v>
      </c>
      <c r="C89" s="271">
        <f t="shared" si="9"/>
        <v>0</v>
      </c>
      <c r="D89" s="279"/>
      <c r="E89" s="281">
        <f t="shared" si="10"/>
        <v>0</v>
      </c>
      <c r="F89" s="281">
        <f t="shared" si="11"/>
        <v>0</v>
      </c>
    </row>
    <row r="90" spans="1:6" ht="23.1" customHeight="1" x14ac:dyDescent="0.2">
      <c r="A90" s="461"/>
      <c r="B90" s="270">
        <f t="shared" si="8"/>
        <v>0</v>
      </c>
      <c r="C90" s="271">
        <f t="shared" si="9"/>
        <v>0</v>
      </c>
      <c r="D90" s="279"/>
      <c r="E90" s="281">
        <f t="shared" si="10"/>
        <v>0</v>
      </c>
      <c r="F90" s="281">
        <f t="shared" si="11"/>
        <v>0</v>
      </c>
    </row>
    <row r="91" spans="1:6" ht="23.1" customHeight="1" x14ac:dyDescent="0.2">
      <c r="A91" s="461"/>
      <c r="B91" s="270">
        <f t="shared" si="8"/>
        <v>0</v>
      </c>
      <c r="C91" s="271">
        <f t="shared" si="9"/>
        <v>0</v>
      </c>
      <c r="D91" s="279"/>
      <c r="E91" s="281">
        <f t="shared" si="10"/>
        <v>0</v>
      </c>
      <c r="F91" s="281">
        <f t="shared" si="11"/>
        <v>0</v>
      </c>
    </row>
    <row r="92" spans="1:6" ht="23.1" customHeight="1" x14ac:dyDescent="0.2">
      <c r="A92" s="461"/>
      <c r="B92" s="270">
        <f t="shared" si="8"/>
        <v>0</v>
      </c>
      <c r="C92" s="271">
        <f t="shared" si="9"/>
        <v>0</v>
      </c>
      <c r="D92" s="279"/>
      <c r="E92" s="281">
        <f t="shared" si="10"/>
        <v>0</v>
      </c>
      <c r="F92" s="281">
        <f t="shared" si="11"/>
        <v>0</v>
      </c>
    </row>
    <row r="93" spans="1:6" ht="23.1" customHeight="1" x14ac:dyDescent="0.2">
      <c r="A93" s="461"/>
      <c r="B93" s="270">
        <f t="shared" si="8"/>
        <v>0</v>
      </c>
      <c r="C93" s="271">
        <f t="shared" si="9"/>
        <v>0</v>
      </c>
      <c r="D93" s="279"/>
      <c r="E93" s="281">
        <f t="shared" si="10"/>
        <v>0</v>
      </c>
      <c r="F93" s="281">
        <f t="shared" si="11"/>
        <v>0</v>
      </c>
    </row>
    <row r="94" spans="1:6" ht="23.1" customHeight="1" x14ac:dyDescent="0.2">
      <c r="A94" s="268"/>
      <c r="B94" s="270"/>
      <c r="C94" s="271"/>
      <c r="D94" s="279"/>
      <c r="E94" s="281"/>
      <c r="F94" s="281"/>
    </row>
    <row r="95" spans="1:6" ht="23.1" customHeight="1" x14ac:dyDescent="0.2">
      <c r="A95" s="235"/>
      <c r="B95" s="236"/>
      <c r="C95" s="237"/>
      <c r="D95" s="238"/>
      <c r="E95" s="239"/>
      <c r="F95" s="239"/>
    </row>
    <row r="96" spans="1:6" ht="23.1" customHeight="1" x14ac:dyDescent="0.2">
      <c r="A96" s="283" t="s">
        <v>1106</v>
      </c>
      <c r="B96" s="284" t="s">
        <v>1166</v>
      </c>
      <c r="C96" s="285"/>
      <c r="D96" s="286"/>
      <c r="E96" s="287"/>
      <c r="F96" s="288">
        <f ca="1">ROUND(F105/Coef_Paso_Vivienda,2)</f>
        <v>0</v>
      </c>
    </row>
    <row r="97" spans="1:6" ht="23.1" customHeight="1" x14ac:dyDescent="0.2">
      <c r="A97" s="289" t="s">
        <v>1107</v>
      </c>
      <c r="B97" s="290" t="str">
        <f>"COSTO FINANCIERO  "&amp;ROUND(Costo_Financiero*100,2)&amp;" % de ( 1 )"</f>
        <v>COSTO FINANCIERO  0 % de ( 1 )</v>
      </c>
      <c r="C97" s="291">
        <f>Costo_Financiero</f>
        <v>0</v>
      </c>
      <c r="D97" s="292"/>
      <c r="E97" s="293">
        <f>Costo_Financiero</f>
        <v>0</v>
      </c>
      <c r="F97" s="294">
        <f ca="1">ROUND(F96*Costo_Financiero,2)</f>
        <v>0</v>
      </c>
    </row>
    <row r="98" spans="1:6" ht="23.1" customHeight="1" x14ac:dyDescent="0.2">
      <c r="A98" s="289" t="s">
        <v>1108</v>
      </c>
      <c r="B98" s="290" t="s">
        <v>1162</v>
      </c>
      <c r="C98" s="291"/>
      <c r="D98" s="292"/>
      <c r="E98" s="295"/>
      <c r="F98" s="294">
        <f ca="1">F96+F97</f>
        <v>0</v>
      </c>
    </row>
    <row r="99" spans="1:6" ht="23.1" customHeight="1" x14ac:dyDescent="0.2">
      <c r="A99" s="289" t="s">
        <v>1109</v>
      </c>
      <c r="B99" s="296" t="str">
        <f>CONCATENATE("GASTOS GENERALES  ",ROUND(Gastos_Generales*100,3)," % de ( 3 )")</f>
        <v>GASTOS GENERALES  0 % de ( 3 )</v>
      </c>
      <c r="C99" s="293">
        <f>Gastos_Generales</f>
        <v>0</v>
      </c>
      <c r="D99" s="297"/>
      <c r="E99" s="295"/>
      <c r="F99" s="294">
        <f ca="1">ROUND(F98*Gastos_Generales,2)</f>
        <v>0</v>
      </c>
    </row>
    <row r="100" spans="1:6" ht="23.1" customHeight="1" x14ac:dyDescent="0.2">
      <c r="A100" s="289" t="s">
        <v>1110</v>
      </c>
      <c r="B100" s="296" t="str">
        <f>CONCATENATE("BENEFICIOS  ",ROUND(Beneficio*100,2)," % de ( 3 )")</f>
        <v>BENEFICIOS  0 % de ( 3 )</v>
      </c>
      <c r="C100" s="293">
        <f>Beneficio</f>
        <v>0</v>
      </c>
      <c r="D100" s="297"/>
      <c r="E100" s="295"/>
      <c r="F100" s="294">
        <f ca="1">ROUND(F98*Beneficio,2)</f>
        <v>0</v>
      </c>
    </row>
    <row r="101" spans="1:6" ht="23.1" customHeight="1" x14ac:dyDescent="0.2">
      <c r="A101" s="289">
        <v>6</v>
      </c>
      <c r="B101" s="290" t="s">
        <v>1163</v>
      </c>
      <c r="C101" s="295"/>
      <c r="D101" s="297"/>
      <c r="E101" s="295"/>
      <c r="F101" s="294">
        <f ca="1">F98+F99+F100</f>
        <v>0</v>
      </c>
    </row>
    <row r="102" spans="1:6" ht="23.1" customHeight="1" x14ac:dyDescent="0.2">
      <c r="A102" s="289" t="s">
        <v>1164</v>
      </c>
      <c r="B102" s="296" t="str">
        <f>CONCATENATE("INGRESOS BRUTOS Y LOTE HOGAR  ",ROUND(Ingresos_Brutos*100,2)," % de ( 6 )")</f>
        <v>INGRESOS BRUTOS Y LOTE HOGAR  2,4 % de ( 6 )</v>
      </c>
      <c r="C102" s="293">
        <f>Ingresos_Brutos</f>
        <v>2.4E-2</v>
      </c>
      <c r="D102" s="297"/>
      <c r="E102" s="295"/>
      <c r="F102" s="294">
        <f ca="1">IF(Ingresos_Brutos=0,,ROUND(Ingresos_Brutos*F101,2))</f>
        <v>0</v>
      </c>
    </row>
    <row r="103" spans="1:6" ht="23.1" customHeight="1" x14ac:dyDescent="0.2">
      <c r="A103" s="298" t="s">
        <v>1165</v>
      </c>
      <c r="B103" s="299" t="str">
        <f>CONCATENATE("IMPUESTO AL VALOR AGREGADO ",IVA_Vivienda*100," % de ( 6 )")</f>
        <v>IMPUESTO AL VALOR AGREGADO 10,5 % de ( 6 )</v>
      </c>
      <c r="C103" s="300">
        <f>IVA_Vivienda</f>
        <v>0.105</v>
      </c>
      <c r="D103" s="301"/>
      <c r="E103" s="302"/>
      <c r="F103" s="303">
        <f ca="1">IF(IVA_Vivienda=0,,ROUND(IVA_Vivienda*F101,2))</f>
        <v>0</v>
      </c>
    </row>
    <row r="104" spans="1:6" ht="23.1" customHeight="1" x14ac:dyDescent="0.2">
      <c r="A104" s="100"/>
      <c r="B104" s="95"/>
      <c r="C104" s="95"/>
      <c r="D104" s="96"/>
      <c r="E104" s="97"/>
      <c r="F104" s="2"/>
    </row>
    <row r="105" spans="1:6" ht="23.1" customHeight="1" x14ac:dyDescent="0.2">
      <c r="A105" s="304"/>
      <c r="B105" s="305" t="str">
        <f>"PRECIO TOTAL ESPACIO COMUN"</f>
        <v>PRECIO TOTAL ESPACIO COMUN</v>
      </c>
      <c r="C105" s="305"/>
      <c r="D105" s="306"/>
      <c r="E105" s="307"/>
      <c r="F105" s="308">
        <f ca="1">SUM(F11:F94)</f>
        <v>0</v>
      </c>
    </row>
    <row r="106" spans="1:6" ht="23.1" customHeight="1" x14ac:dyDescent="0.2"/>
    <row r="107" spans="1:6" ht="23.1" customHeight="1" x14ac:dyDescent="0.2"/>
  </sheetData>
  <mergeCells count="7">
    <mergeCell ref="A1:F1"/>
    <mergeCell ref="A7:A8"/>
    <mergeCell ref="B7:B8"/>
    <mergeCell ref="C7:C8"/>
    <mergeCell ref="D7:D8"/>
    <mergeCell ref="E7:E8"/>
    <mergeCell ref="F7:F8"/>
  </mergeCells>
  <conditionalFormatting sqref="B10:B45 A11:A93 A34:B95">
    <cfRule type="expression" dxfId="132" priority="3" stopIfTrue="1">
      <formula>$C10=0</formula>
    </cfRule>
  </conditionalFormatting>
  <conditionalFormatting sqref="A10">
    <cfRule type="expression" dxfId="131" priority="2" stopIfTrue="1">
      <formula>$C10=0</formula>
    </cfRule>
  </conditionalFormatting>
  <conditionalFormatting sqref="F96">
    <cfRule type="expression" dxfId="130" priority="1" stopIfTrue="1">
      <formula>#REF!=1</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pageSetUpPr fitToPage="1"/>
  </sheetPr>
  <dimension ref="A1:J51"/>
  <sheetViews>
    <sheetView tabSelected="1" topLeftCell="A19" workbookViewId="0">
      <selection activeCell="B39" sqref="B39"/>
    </sheetView>
  </sheetViews>
  <sheetFormatPr baseColWidth="10" defaultColWidth="11.42578125" defaultRowHeight="20.100000000000001" customHeight="1" x14ac:dyDescent="0.2"/>
  <cols>
    <col min="1" max="1" width="12.7109375" style="87" customWidth="1"/>
    <col min="2" max="2" width="107.42578125" style="87" customWidth="1"/>
    <col min="3" max="3" width="10.7109375" style="87" customWidth="1"/>
    <col min="4" max="4" width="14.7109375" style="87" customWidth="1"/>
    <col min="5" max="5" width="16.7109375" style="87" customWidth="1"/>
    <col min="6" max="6" width="19.7109375" style="87" customWidth="1"/>
    <col min="7" max="7" width="11.42578125" style="87"/>
    <col min="8" max="8" width="17.5703125" style="87" bestFit="1" customWidth="1"/>
    <col min="9" max="16384" width="11.42578125" style="87"/>
  </cols>
  <sheetData>
    <row r="1" spans="1:10" ht="20.100000000000001" customHeight="1" x14ac:dyDescent="0.2">
      <c r="A1" s="611" t="s">
        <v>1319</v>
      </c>
      <c r="B1" s="611"/>
      <c r="C1" s="611"/>
      <c r="D1" s="611"/>
      <c r="E1" s="611"/>
      <c r="F1" s="611"/>
    </row>
    <row r="2" spans="1:10" s="109" customFormat="1" ht="20.100000000000001" customHeight="1" x14ac:dyDescent="0.2">
      <c r="A2" s="109" t="s">
        <v>1235</v>
      </c>
      <c r="B2" s="108" t="str">
        <f>Obra</f>
        <v>BARRIO JOSÉ AMÉRICO GRIMALT - SECTOR B</v>
      </c>
      <c r="C2" s="110"/>
      <c r="D2" s="110"/>
    </row>
    <row r="3" spans="1:10" s="109" customFormat="1" ht="20.100000000000001" customHeight="1" x14ac:dyDescent="0.2">
      <c r="A3" s="109" t="str">
        <f>"UBICACION:      "&amp;Ubicación</f>
        <v>UBICACION:      DEPTO. ULLÚM</v>
      </c>
      <c r="B3" s="108" t="str">
        <f>Ubicación</f>
        <v>DEPTO. ULLÚM</v>
      </c>
      <c r="C3" s="110"/>
      <c r="D3" s="110"/>
    </row>
    <row r="4" spans="1:10" s="109" customFormat="1" ht="20.100000000000001" customHeight="1" x14ac:dyDescent="0.2">
      <c r="B4" s="110"/>
      <c r="C4" s="110"/>
      <c r="D4" s="110"/>
    </row>
    <row r="5" spans="1:10" s="109" customFormat="1" ht="20.100000000000001" customHeight="1" x14ac:dyDescent="0.2">
      <c r="B5" s="110"/>
      <c r="C5" s="110"/>
      <c r="D5" s="110"/>
    </row>
    <row r="6" spans="1:10" ht="20.100000000000001" customHeight="1" x14ac:dyDescent="0.2">
      <c r="A6" s="107"/>
      <c r="B6" s="107"/>
      <c r="C6" s="107"/>
      <c r="D6" s="107"/>
      <c r="E6" s="107"/>
    </row>
    <row r="7" spans="1:10" ht="20.100000000000001" customHeight="1" x14ac:dyDescent="0.2">
      <c r="A7" s="612" t="s">
        <v>1105</v>
      </c>
      <c r="B7" s="614" t="s">
        <v>0</v>
      </c>
      <c r="C7" s="612" t="s">
        <v>1</v>
      </c>
      <c r="D7" s="612" t="s">
        <v>2</v>
      </c>
      <c r="E7" s="612" t="s">
        <v>1151</v>
      </c>
      <c r="F7" s="612" t="s">
        <v>1161</v>
      </c>
    </row>
    <row r="8" spans="1:10" ht="20.100000000000001" customHeight="1" x14ac:dyDescent="0.2">
      <c r="A8" s="613"/>
      <c r="B8" s="615"/>
      <c r="C8" s="613"/>
      <c r="D8" s="613"/>
      <c r="E8" s="613"/>
      <c r="F8" s="613"/>
    </row>
    <row r="9" spans="1:10" ht="20.100000000000001" customHeight="1" x14ac:dyDescent="0.2">
      <c r="A9" s="240"/>
      <c r="B9" s="230"/>
      <c r="C9" s="174"/>
      <c r="D9" s="174"/>
      <c r="E9" s="242"/>
      <c r="F9" s="243"/>
    </row>
    <row r="10" spans="1:10" ht="20.100000000000001" customHeight="1" x14ac:dyDescent="0.2">
      <c r="A10" s="311" t="s">
        <v>1126</v>
      </c>
      <c r="B10" s="310" t="str">
        <f t="shared" ref="B10:B25" si="0">IFERROR(VLOOKUP(A10,Tabla_Datos,2,FALSE),0)</f>
        <v>INFRAESTRUCTURA</v>
      </c>
      <c r="C10" s="276"/>
      <c r="D10" s="277"/>
      <c r="E10" s="312"/>
      <c r="F10" s="312"/>
    </row>
    <row r="11" spans="1:10" ht="20.100000000000001" customHeight="1" x14ac:dyDescent="0.2">
      <c r="A11" s="575">
        <v>44</v>
      </c>
      <c r="B11" s="558" t="str">
        <f>IFERROR(VLOOKUP(A11,Tabla_Datos,2,FALSE),0)</f>
        <v xml:space="preserve">Limpieza de Terreno, destronques y erradicación de árboles </v>
      </c>
      <c r="C11" s="559" t="str">
        <f>IFERROR(VLOOKUP(A11,Tabla_Datos,3,FALSE),0)</f>
        <v>ha</v>
      </c>
      <c r="D11" s="565">
        <v>3.3</v>
      </c>
      <c r="E11" s="557">
        <f>IFERROR(VLOOKUP(A11,Tabla_Comp_Presup,7,FALSE),0)</f>
        <v>0</v>
      </c>
      <c r="F11" s="557">
        <f>ROUND(D11*E11,15)</f>
        <v>0</v>
      </c>
    </row>
    <row r="12" spans="1:10" ht="20.100000000000001" customHeight="1" x14ac:dyDescent="0.2">
      <c r="A12" s="575">
        <v>45</v>
      </c>
      <c r="B12" s="558" t="str">
        <f>IFERROR(VLOOKUP(A12,Tabla_Datos,2,FALSE),0)</f>
        <v>Excavación no Clasificada</v>
      </c>
      <c r="C12" s="559" t="str">
        <f>IFERROR(VLOOKUP(A12,Tabla_Datos,3,FALSE),0)</f>
        <v>m3</v>
      </c>
      <c r="D12" s="565">
        <v>1962</v>
      </c>
      <c r="E12" s="557">
        <f>IFERROR(VLOOKUP(A12,Tabla_Comp_Presup,7,FALSE),0)</f>
        <v>0</v>
      </c>
      <c r="F12" s="557">
        <f t="shared" ref="F12:F39" si="1">ROUND(D12*E12,15)</f>
        <v>0</v>
      </c>
      <c r="H12" s="107"/>
      <c r="I12" s="576"/>
      <c r="J12" s="107"/>
    </row>
    <row r="13" spans="1:10" ht="20.100000000000001" customHeight="1" x14ac:dyDescent="0.2">
      <c r="A13" s="575">
        <v>46</v>
      </c>
      <c r="B13" s="558" t="str">
        <f t="shared" si="0"/>
        <v>Ejecución de base (0,25)</v>
      </c>
      <c r="C13" s="559" t="str">
        <f t="shared" ref="C13:C25" si="2">IFERROR(VLOOKUP(A13,Tabla_Datos,3,FALSE),0)</f>
        <v>m3</v>
      </c>
      <c r="D13" s="565">
        <v>1815.8999999999999</v>
      </c>
      <c r="E13" s="557">
        <f t="shared" ref="E13:E25" si="3">IFERROR(VLOOKUP(A13,Tabla_Comp_Presup,7,FALSE),0)</f>
        <v>0</v>
      </c>
      <c r="F13" s="557">
        <f t="shared" si="1"/>
        <v>0</v>
      </c>
      <c r="H13" s="107"/>
      <c r="I13" s="576"/>
      <c r="J13" s="107"/>
    </row>
    <row r="14" spans="1:10" ht="20.100000000000001" customHeight="1" x14ac:dyDescent="0.2">
      <c r="A14" s="575">
        <v>47</v>
      </c>
      <c r="B14" s="558" t="str">
        <f t="shared" si="0"/>
        <v>Ejecución de cunetas en tierra</v>
      </c>
      <c r="C14" s="559" t="str">
        <f t="shared" si="2"/>
        <v>ml</v>
      </c>
      <c r="D14" s="565">
        <v>1341</v>
      </c>
      <c r="E14" s="557">
        <f t="shared" si="3"/>
        <v>0</v>
      </c>
      <c r="F14" s="557">
        <f t="shared" si="1"/>
        <v>0</v>
      </c>
      <c r="H14" s="107"/>
      <c r="I14" s="576"/>
      <c r="J14" s="107"/>
    </row>
    <row r="15" spans="1:10" ht="20.100000000000001" customHeight="1" x14ac:dyDescent="0.2">
      <c r="A15" s="575">
        <v>48</v>
      </c>
      <c r="B15" s="558" t="str">
        <f t="shared" si="0"/>
        <v>Arbolado Público</v>
      </c>
      <c r="C15" s="559" t="str">
        <f t="shared" si="2"/>
        <v>u</v>
      </c>
      <c r="D15" s="565">
        <v>184</v>
      </c>
      <c r="E15" s="557">
        <f t="shared" si="3"/>
        <v>0</v>
      </c>
      <c r="F15" s="557">
        <f t="shared" si="1"/>
        <v>0</v>
      </c>
      <c r="H15" s="107"/>
      <c r="I15" s="576"/>
      <c r="J15" s="107"/>
    </row>
    <row r="16" spans="1:10" ht="20.100000000000001" customHeight="1" x14ac:dyDescent="0.2">
      <c r="A16" s="575">
        <v>49</v>
      </c>
      <c r="B16" s="558" t="str">
        <f t="shared" si="0"/>
        <v>Ejecuciòn de Veredas Municipales</v>
      </c>
      <c r="C16" s="559" t="str">
        <f t="shared" si="2"/>
        <v>m2</v>
      </c>
      <c r="D16" s="565">
        <v>2568</v>
      </c>
      <c r="E16" s="557">
        <f t="shared" si="3"/>
        <v>0</v>
      </c>
      <c r="F16" s="557">
        <f t="shared" si="1"/>
        <v>0</v>
      </c>
      <c r="H16" s="107"/>
      <c r="I16" s="576"/>
      <c r="J16" s="107"/>
    </row>
    <row r="17" spans="1:10" ht="20.100000000000001" customHeight="1" x14ac:dyDescent="0.2">
      <c r="A17" s="575">
        <v>50</v>
      </c>
      <c r="B17" s="558" t="str">
        <f t="shared" si="0"/>
        <v>Puentes Peatonales</v>
      </c>
      <c r="C17" s="559" t="str">
        <f t="shared" si="2"/>
        <v>u</v>
      </c>
      <c r="D17" s="565">
        <v>32</v>
      </c>
      <c r="E17" s="557">
        <f t="shared" si="3"/>
        <v>0</v>
      </c>
      <c r="F17" s="557">
        <f t="shared" si="1"/>
        <v>0</v>
      </c>
      <c r="H17" s="107"/>
      <c r="I17" s="576"/>
      <c r="J17" s="107"/>
    </row>
    <row r="18" spans="1:10" ht="20.100000000000001" customHeight="1" x14ac:dyDescent="0.2">
      <c r="A18" s="575">
        <v>51</v>
      </c>
      <c r="B18" s="558" t="str">
        <f t="shared" si="0"/>
        <v>Puentes de acceso Vehicular</v>
      </c>
      <c r="C18" s="559" t="str">
        <f t="shared" si="2"/>
        <v>u</v>
      </c>
      <c r="D18" s="565">
        <v>51</v>
      </c>
      <c r="E18" s="557">
        <f t="shared" si="3"/>
        <v>0</v>
      </c>
      <c r="F18" s="557">
        <f t="shared" si="1"/>
        <v>0</v>
      </c>
      <c r="H18" s="107"/>
      <c r="I18" s="576"/>
      <c r="J18" s="107"/>
    </row>
    <row r="19" spans="1:10" ht="20.100000000000001" customHeight="1" x14ac:dyDescent="0.2">
      <c r="A19" s="575">
        <v>52</v>
      </c>
      <c r="B19" s="558" t="str">
        <f t="shared" si="0"/>
        <v>Indicadores de Calles</v>
      </c>
      <c r="C19" s="559" t="str">
        <f t="shared" si="2"/>
        <v>u</v>
      </c>
      <c r="D19" s="565">
        <v>6</v>
      </c>
      <c r="E19" s="557">
        <f t="shared" si="3"/>
        <v>0</v>
      </c>
      <c r="F19" s="557">
        <f t="shared" si="1"/>
        <v>0</v>
      </c>
      <c r="H19" s="107"/>
      <c r="I19" s="576"/>
      <c r="J19" s="107"/>
    </row>
    <row r="20" spans="1:10" ht="20.100000000000001" customHeight="1" x14ac:dyDescent="0.2">
      <c r="A20" s="575">
        <v>53</v>
      </c>
      <c r="B20" s="558" t="str">
        <f t="shared" si="0"/>
        <v>Vértices de Lotes</v>
      </c>
      <c r="C20" s="559" t="str">
        <f t="shared" si="2"/>
        <v>u</v>
      </c>
      <c r="D20" s="565">
        <v>120</v>
      </c>
      <c r="E20" s="557">
        <f t="shared" si="3"/>
        <v>0</v>
      </c>
      <c r="F20" s="557">
        <f t="shared" si="1"/>
        <v>0</v>
      </c>
      <c r="H20" s="107"/>
      <c r="I20" s="576"/>
      <c r="J20" s="107"/>
    </row>
    <row r="21" spans="1:10" ht="20.100000000000001" customHeight="1" x14ac:dyDescent="0.2">
      <c r="A21" s="575">
        <v>54</v>
      </c>
      <c r="B21" s="558" t="str">
        <f t="shared" si="0"/>
        <v>Espacio Verde 2</v>
      </c>
      <c r="C21" s="559" t="str">
        <f t="shared" si="2"/>
        <v>gl</v>
      </c>
      <c r="D21" s="565">
        <v>1</v>
      </c>
      <c r="E21" s="557">
        <f t="shared" si="3"/>
        <v>0</v>
      </c>
      <c r="F21" s="557">
        <f t="shared" si="1"/>
        <v>0</v>
      </c>
      <c r="H21" s="107"/>
      <c r="I21" s="576"/>
      <c r="J21" s="107"/>
    </row>
    <row r="22" spans="1:10" ht="20.100000000000001" customHeight="1" x14ac:dyDescent="0.2">
      <c r="A22" s="575">
        <v>55</v>
      </c>
      <c r="B22" s="558" t="str">
        <f t="shared" si="0"/>
        <v>Alumbrado Público</v>
      </c>
      <c r="C22" s="559" t="str">
        <f t="shared" si="2"/>
        <v>gl</v>
      </c>
      <c r="D22" s="565">
        <v>1</v>
      </c>
      <c r="E22" s="557">
        <f t="shared" si="3"/>
        <v>0</v>
      </c>
      <c r="F22" s="557">
        <f t="shared" si="1"/>
        <v>0</v>
      </c>
      <c r="H22" s="107"/>
      <c r="I22" s="576"/>
      <c r="J22" s="107"/>
    </row>
    <row r="23" spans="1:10" ht="20.100000000000001" customHeight="1" x14ac:dyDescent="0.2">
      <c r="A23" s="575">
        <v>56</v>
      </c>
      <c r="B23" s="558" t="str">
        <f t="shared" si="0"/>
        <v>Alumbrado Espacio Verde 2</v>
      </c>
      <c r="C23" s="559" t="str">
        <f t="shared" si="2"/>
        <v>gl</v>
      </c>
      <c r="D23" s="565">
        <v>1</v>
      </c>
      <c r="E23" s="557">
        <f t="shared" si="3"/>
        <v>0</v>
      </c>
      <c r="F23" s="557">
        <f t="shared" si="1"/>
        <v>0</v>
      </c>
      <c r="H23" s="107"/>
      <c r="I23" s="576"/>
      <c r="J23" s="107"/>
    </row>
    <row r="24" spans="1:10" ht="20.100000000000001" customHeight="1" x14ac:dyDescent="0.2">
      <c r="A24" s="575">
        <v>57</v>
      </c>
      <c r="B24" s="558" t="str">
        <f t="shared" si="0"/>
        <v>Red de cloacas - Provisión, acarreo y colocación de caño de PVC RCP ø160 mm, incl. piezas esp. juntas, etc.</v>
      </c>
      <c r="C24" s="559" t="str">
        <f t="shared" si="2"/>
        <v>m</v>
      </c>
      <c r="D24" s="565">
        <v>556</v>
      </c>
      <c r="E24" s="557">
        <f t="shared" si="3"/>
        <v>0</v>
      </c>
      <c r="F24" s="557">
        <f t="shared" si="1"/>
        <v>0</v>
      </c>
      <c r="H24" s="107"/>
      <c r="I24" s="576"/>
      <c r="J24" s="107"/>
    </row>
    <row r="25" spans="1:10" ht="20.100000000000001" customHeight="1" x14ac:dyDescent="0.2">
      <c r="A25" s="575">
        <v>58</v>
      </c>
      <c r="B25" s="558" t="str">
        <f t="shared" si="0"/>
        <v xml:space="preserve">Red de cloacas - Provisión, acarreo y coloc. materiales  p/la ejecución de Bocas de Registros s/calle, incl. tapa de HF, etc. </v>
      </c>
      <c r="C25" s="559" t="str">
        <f t="shared" si="2"/>
        <v>u</v>
      </c>
      <c r="D25" s="565">
        <v>3</v>
      </c>
      <c r="E25" s="557">
        <f t="shared" si="3"/>
        <v>0</v>
      </c>
      <c r="F25" s="557">
        <f t="shared" si="1"/>
        <v>0</v>
      </c>
      <c r="H25" s="107"/>
      <c r="I25" s="576"/>
      <c r="J25" s="107"/>
    </row>
    <row r="26" spans="1:10" ht="20.100000000000001" customHeight="1" x14ac:dyDescent="0.2">
      <c r="A26" s="575">
        <v>59</v>
      </c>
      <c r="B26" s="558" t="str">
        <f t="shared" ref="B26:B38" si="4">IFERROR(VLOOKUP(A26,Tabla_Datos,2,FALSE),0)</f>
        <v>Red de cloacas - Excavación de zanjas para inst. cañeías, sin depresión de napa</v>
      </c>
      <c r="C26" s="559" t="str">
        <f t="shared" ref="C26:C38" si="5">IFERROR(VLOOKUP(A26,Tabla_Datos,3,FALSE),0)</f>
        <v>m3</v>
      </c>
      <c r="D26" s="565">
        <v>797.5</v>
      </c>
      <c r="E26" s="557">
        <f t="shared" ref="E26:E38" si="6">IFERROR(VLOOKUP(A26,Tabla_Comp_Presup,7,FALSE),0)</f>
        <v>0</v>
      </c>
      <c r="F26" s="557">
        <f t="shared" si="1"/>
        <v>0</v>
      </c>
      <c r="H26" s="107"/>
      <c r="I26" s="576"/>
      <c r="J26" s="107"/>
    </row>
    <row r="27" spans="1:10" ht="20.100000000000001" customHeight="1" x14ac:dyDescent="0.2">
      <c r="A27" s="575">
        <v>60</v>
      </c>
      <c r="B27" s="558" t="str">
        <f t="shared" si="4"/>
        <v>Red de cloacas - Paquete estructural</v>
      </c>
      <c r="C27" s="559" t="str">
        <f t="shared" si="5"/>
        <v>m3</v>
      </c>
      <c r="D27" s="565">
        <v>222.4</v>
      </c>
      <c r="E27" s="557">
        <f t="shared" si="6"/>
        <v>0</v>
      </c>
      <c r="F27" s="557">
        <f t="shared" si="1"/>
        <v>0</v>
      </c>
      <c r="H27" s="107"/>
      <c r="I27" s="576"/>
      <c r="J27" s="107"/>
    </row>
    <row r="28" spans="1:10" ht="20.100000000000001" customHeight="1" x14ac:dyDescent="0.2">
      <c r="A28" s="575">
        <v>61</v>
      </c>
      <c r="B28" s="558" t="str">
        <f t="shared" si="4"/>
        <v>Red de cloacas - Relleno superior</v>
      </c>
      <c r="C28" s="559" t="str">
        <f t="shared" si="5"/>
        <v>m3</v>
      </c>
      <c r="D28" s="565">
        <v>492.9</v>
      </c>
      <c r="E28" s="557">
        <f>IFERROR(VLOOKUP(A28,Tabla_Comp_Presup,7,FALSE),0)</f>
        <v>0</v>
      </c>
      <c r="F28" s="557">
        <f t="shared" si="1"/>
        <v>0</v>
      </c>
      <c r="H28" s="107"/>
      <c r="I28" s="576"/>
      <c r="J28" s="107"/>
    </row>
    <row r="29" spans="1:10" ht="20.100000000000001" customHeight="1" x14ac:dyDescent="0.2">
      <c r="A29" s="575">
        <v>62</v>
      </c>
      <c r="B29" s="558" t="str">
        <f t="shared" si="4"/>
        <v>Red de cloacas - Conexiones domiciliarias cloacas (Provisión, acarreo y coloc. materiales p/la ejecución s/red nueva)</v>
      </c>
      <c r="C29" s="559" t="str">
        <f t="shared" si="5"/>
        <v>u</v>
      </c>
      <c r="D29" s="565">
        <v>51</v>
      </c>
      <c r="E29" s="557">
        <f t="shared" si="6"/>
        <v>0</v>
      </c>
      <c r="F29" s="557">
        <f t="shared" si="1"/>
        <v>0</v>
      </c>
      <c r="H29" s="107"/>
      <c r="I29" s="576"/>
      <c r="J29" s="107"/>
    </row>
    <row r="30" spans="1:10" ht="20.100000000000001" customHeight="1" x14ac:dyDescent="0.2">
      <c r="A30" s="575">
        <v>63</v>
      </c>
      <c r="B30" s="558" t="str">
        <f t="shared" si="4"/>
        <v>Red de agua potable - Provisión, acarreo y colocación de caño recto Ø110mm de PVC k-10, incl. piezas esp. juntas, etc.</v>
      </c>
      <c r="C30" s="559" t="str">
        <f t="shared" si="5"/>
        <v>ml</v>
      </c>
      <c r="D30" s="565">
        <v>556</v>
      </c>
      <c r="E30" s="557">
        <f t="shared" si="6"/>
        <v>0</v>
      </c>
      <c r="F30" s="557">
        <f t="shared" si="1"/>
        <v>0</v>
      </c>
      <c r="H30" s="107"/>
      <c r="I30" s="576"/>
      <c r="J30" s="107"/>
    </row>
    <row r="31" spans="1:10" ht="20.100000000000001" customHeight="1" x14ac:dyDescent="0.2">
      <c r="A31" s="575">
        <v>64</v>
      </c>
      <c r="B31" s="558" t="str">
        <f t="shared" si="4"/>
        <v>Red de agua potable - Provisión, acarreo y colocación de hidrantes a bola, completos, (Incluye caja de HF y Const. de cámara)</v>
      </c>
      <c r="C31" s="559" t="str">
        <f t="shared" si="5"/>
        <v>u</v>
      </c>
      <c r="D31" s="565">
        <v>2</v>
      </c>
      <c r="E31" s="557">
        <f t="shared" si="6"/>
        <v>0</v>
      </c>
      <c r="F31" s="557">
        <f t="shared" si="1"/>
        <v>0</v>
      </c>
      <c r="H31" s="107"/>
      <c r="I31" s="576"/>
      <c r="J31" s="107"/>
    </row>
    <row r="32" spans="1:10" ht="20.100000000000001" customHeight="1" x14ac:dyDescent="0.2">
      <c r="A32" s="575">
        <v>65</v>
      </c>
      <c r="B32" s="558" t="str">
        <f t="shared" si="4"/>
        <v>Red de agua potable - Excavación de zanjas para inst. cañeías, sin depresión de napa</v>
      </c>
      <c r="C32" s="559" t="str">
        <f t="shared" si="5"/>
        <v>m3</v>
      </c>
      <c r="D32" s="565">
        <v>708.9</v>
      </c>
      <c r="E32" s="557">
        <f t="shared" si="6"/>
        <v>0</v>
      </c>
      <c r="F32" s="557">
        <f t="shared" si="1"/>
        <v>0</v>
      </c>
      <c r="H32" s="107"/>
      <c r="I32" s="576"/>
      <c r="J32" s="107"/>
    </row>
    <row r="33" spans="1:10" ht="20.100000000000001" customHeight="1" x14ac:dyDescent="0.2">
      <c r="A33" s="575">
        <v>66</v>
      </c>
      <c r="B33" s="558" t="str">
        <f t="shared" si="4"/>
        <v>Red de agua potable - Paquete estructural</v>
      </c>
      <c r="C33" s="559" t="str">
        <f t="shared" si="5"/>
        <v>m3</v>
      </c>
      <c r="D33" s="565">
        <v>236.3</v>
      </c>
      <c r="E33" s="557">
        <f t="shared" si="6"/>
        <v>0</v>
      </c>
      <c r="F33" s="557">
        <f t="shared" si="1"/>
        <v>0</v>
      </c>
      <c r="H33" s="107"/>
      <c r="I33" s="576"/>
      <c r="J33" s="107"/>
    </row>
    <row r="34" spans="1:10" ht="20.100000000000001" customHeight="1" x14ac:dyDescent="0.2">
      <c r="A34" s="575">
        <v>67</v>
      </c>
      <c r="B34" s="558" t="str">
        <f t="shared" si="4"/>
        <v xml:space="preserve">Red de agua potable - Relleno superior </v>
      </c>
      <c r="C34" s="559" t="str">
        <f t="shared" si="5"/>
        <v>m3</v>
      </c>
      <c r="D34" s="565">
        <v>354.45</v>
      </c>
      <c r="E34" s="557">
        <f t="shared" si="6"/>
        <v>0</v>
      </c>
      <c r="F34" s="557">
        <f t="shared" si="1"/>
        <v>0</v>
      </c>
      <c r="H34" s="107"/>
      <c r="I34" s="576"/>
      <c r="J34" s="107"/>
    </row>
    <row r="35" spans="1:10" ht="20.100000000000001" customHeight="1" x14ac:dyDescent="0.2">
      <c r="A35" s="575">
        <v>68</v>
      </c>
      <c r="B35" s="558" t="str">
        <f t="shared" si="4"/>
        <v>Red de agua potable - Conexiones domiciliarias agua potable (Provisión, acarreo y coloc. mat. polietileno k10-abrazadera, férula, llave maestra y medidor de caudal, incl UV)</v>
      </c>
      <c r="C35" s="559" t="str">
        <f t="shared" si="5"/>
        <v>u</v>
      </c>
      <c r="D35" s="565">
        <v>51</v>
      </c>
      <c r="E35" s="557">
        <f t="shared" si="6"/>
        <v>0</v>
      </c>
      <c r="F35" s="557">
        <f t="shared" si="1"/>
        <v>0</v>
      </c>
      <c r="H35" s="107"/>
      <c r="I35" s="576"/>
      <c r="J35" s="107"/>
    </row>
    <row r="36" spans="1:10" ht="20.100000000000001" customHeight="1" x14ac:dyDescent="0.2">
      <c r="A36" s="575">
        <v>69</v>
      </c>
      <c r="B36" s="558" t="str">
        <f t="shared" si="4"/>
        <v>Documentación final de obra (minimo 3% Monto Total de la Obra)</v>
      </c>
      <c r="C36" s="559" t="str">
        <f t="shared" si="5"/>
        <v>gl</v>
      </c>
      <c r="D36" s="565">
        <v>1</v>
      </c>
      <c r="E36" s="557">
        <f t="shared" si="6"/>
        <v>0</v>
      </c>
      <c r="F36" s="557">
        <f t="shared" si="1"/>
        <v>0</v>
      </c>
      <c r="H36" s="107"/>
      <c r="I36" s="576"/>
      <c r="J36" s="107"/>
    </row>
    <row r="37" spans="1:10" ht="20.100000000000001" customHeight="1" x14ac:dyDescent="0.2">
      <c r="A37" s="595" t="s">
        <v>1315</v>
      </c>
      <c r="B37" s="310" t="str">
        <f t="shared" si="4"/>
        <v>OBRAS COMPLEMENTARIAS</v>
      </c>
      <c r="C37" s="276"/>
      <c r="D37" s="596"/>
      <c r="E37" s="309"/>
      <c r="F37" s="309"/>
      <c r="H37" s="107"/>
      <c r="I37" s="576"/>
      <c r="J37" s="107"/>
    </row>
    <row r="38" spans="1:10" ht="20.100000000000001" customHeight="1" x14ac:dyDescent="0.2">
      <c r="A38" s="575">
        <v>70</v>
      </c>
      <c r="B38" s="558" t="str">
        <f t="shared" si="4"/>
        <v>Obras Complementarias - Cierre Perimetral</v>
      </c>
      <c r="C38" s="559" t="str">
        <f t="shared" si="5"/>
        <v>ml</v>
      </c>
      <c r="D38" s="565">
        <v>198</v>
      </c>
      <c r="E38" s="557">
        <f t="shared" si="6"/>
        <v>0</v>
      </c>
      <c r="F38" s="557">
        <f t="shared" si="1"/>
        <v>0</v>
      </c>
      <c r="H38" s="107"/>
      <c r="I38" s="576"/>
      <c r="J38" s="107"/>
    </row>
    <row r="39" spans="1:10" ht="20.100000000000001" customHeight="1" x14ac:dyDescent="0.2">
      <c r="A39" s="575"/>
      <c r="B39" s="558">
        <f>IFERROR(VLOOKUP(A39,Tabla_Datos,2,FALSE),0)</f>
        <v>0</v>
      </c>
      <c r="C39" s="559"/>
      <c r="D39" s="565"/>
      <c r="E39" s="557"/>
      <c r="F39" s="557">
        <f t="shared" si="1"/>
        <v>0</v>
      </c>
      <c r="H39" s="107"/>
      <c r="I39" s="576"/>
      <c r="J39" s="107"/>
    </row>
    <row r="40" spans="1:10" ht="20.100000000000001" customHeight="1" x14ac:dyDescent="0.2">
      <c r="A40" s="575"/>
      <c r="B40" s="558"/>
      <c r="C40" s="559"/>
      <c r="D40" s="565"/>
      <c r="E40" s="557"/>
      <c r="F40" s="557"/>
      <c r="H40" s="107"/>
      <c r="I40" s="576"/>
      <c r="J40" s="107"/>
    </row>
    <row r="41" spans="1:10" ht="20.100000000000001" customHeight="1" x14ac:dyDescent="0.2">
      <c r="A41" s="235"/>
      <c r="B41" s="236"/>
      <c r="C41" s="237"/>
      <c r="D41" s="238"/>
      <c r="E41" s="239"/>
      <c r="F41" s="239"/>
    </row>
    <row r="42" spans="1:10" ht="20.100000000000001" customHeight="1" x14ac:dyDescent="0.2">
      <c r="A42" s="530" t="s">
        <v>1106</v>
      </c>
      <c r="B42" s="531" t="s">
        <v>1166</v>
      </c>
      <c r="C42" s="532"/>
      <c r="D42" s="533"/>
      <c r="E42" s="534"/>
      <c r="F42" s="535">
        <f>ROUND(F51/Coef_Paso_Infraestructura,2)</f>
        <v>0</v>
      </c>
    </row>
    <row r="43" spans="1:10" ht="20.100000000000001" customHeight="1" x14ac:dyDescent="0.2">
      <c r="A43" s="536" t="s">
        <v>1107</v>
      </c>
      <c r="B43" s="537" t="str">
        <f>"COSTO FINANCIERO  "&amp;ROUND(Costo_Financiero*100,2)&amp;" % de ( 1 )"</f>
        <v>COSTO FINANCIERO  0 % de ( 1 )</v>
      </c>
      <c r="C43" s="538">
        <f>Costo_Financiero</f>
        <v>0</v>
      </c>
      <c r="D43" s="539"/>
      <c r="E43" s="540">
        <f>Costo_Financiero</f>
        <v>0</v>
      </c>
      <c r="F43" s="541">
        <f>ROUND(F42*Costo_Financiero,2)</f>
        <v>0</v>
      </c>
    </row>
    <row r="44" spans="1:10" ht="20.100000000000001" customHeight="1" x14ac:dyDescent="0.2">
      <c r="A44" s="536" t="s">
        <v>1108</v>
      </c>
      <c r="B44" s="537" t="s">
        <v>1162</v>
      </c>
      <c r="C44" s="538"/>
      <c r="D44" s="539"/>
      <c r="E44" s="542"/>
      <c r="F44" s="541">
        <f>F42+F43</f>
        <v>0</v>
      </c>
    </row>
    <row r="45" spans="1:10" ht="20.100000000000001" customHeight="1" x14ac:dyDescent="0.2">
      <c r="A45" s="536" t="s">
        <v>1109</v>
      </c>
      <c r="B45" s="543" t="str">
        <f>CONCATENATE("GASTOS GENERALES  ",ROUND(Gastos_Generales*100,3)," % de ( 3 )")</f>
        <v>GASTOS GENERALES  0 % de ( 3 )</v>
      </c>
      <c r="C45" s="540">
        <f>Gastos_Generales</f>
        <v>0</v>
      </c>
      <c r="D45" s="544"/>
      <c r="E45" s="542"/>
      <c r="F45" s="541">
        <f>ROUND(F44*Gastos_Generales,2)</f>
        <v>0</v>
      </c>
    </row>
    <row r="46" spans="1:10" ht="20.100000000000001" customHeight="1" x14ac:dyDescent="0.2">
      <c r="A46" s="536" t="s">
        <v>1110</v>
      </c>
      <c r="B46" s="543" t="str">
        <f>CONCATENATE("BENEFICIOS  ",ROUND(Beneficio*100,2)," % de ( 3 )")</f>
        <v>BENEFICIOS  0 % de ( 3 )</v>
      </c>
      <c r="C46" s="540">
        <f>Beneficio</f>
        <v>0</v>
      </c>
      <c r="D46" s="544"/>
      <c r="E46" s="542"/>
      <c r="F46" s="541">
        <f>ROUND(F44*Beneficio,2)</f>
        <v>0</v>
      </c>
    </row>
    <row r="47" spans="1:10" ht="20.100000000000001" customHeight="1" x14ac:dyDescent="0.2">
      <c r="A47" s="536">
        <v>6</v>
      </c>
      <c r="B47" s="537" t="s">
        <v>1163</v>
      </c>
      <c r="C47" s="542"/>
      <c r="D47" s="544"/>
      <c r="E47" s="542"/>
      <c r="F47" s="541">
        <f>F44+F45+F46</f>
        <v>0</v>
      </c>
    </row>
    <row r="48" spans="1:10" ht="20.100000000000001" customHeight="1" x14ac:dyDescent="0.2">
      <c r="A48" s="536" t="s">
        <v>1164</v>
      </c>
      <c r="B48" s="543" t="str">
        <f>CONCATENATE("INGRESOS BRUTOS Y LOTE HOGAR  ",ROUND(Ingresos_Brutos*100,2)," % de ( 6 )")</f>
        <v>INGRESOS BRUTOS Y LOTE HOGAR  2,4 % de ( 6 )</v>
      </c>
      <c r="C48" s="540">
        <f>Ingresos_Brutos</f>
        <v>2.4E-2</v>
      </c>
      <c r="D48" s="544"/>
      <c r="E48" s="542"/>
      <c r="F48" s="541">
        <f>IF(Ingresos_Brutos=0,,ROUND(Ingresos_Brutos*F47,2))</f>
        <v>0</v>
      </c>
    </row>
    <row r="49" spans="1:6" ht="20.100000000000001" customHeight="1" x14ac:dyDescent="0.2">
      <c r="A49" s="545" t="s">
        <v>1165</v>
      </c>
      <c r="B49" s="546" t="str">
        <f>CONCATENATE("IMPUESTO AL VALOR AGREGADO ",IVA_Vivienda*100," % de ( 6 )")</f>
        <v>IMPUESTO AL VALOR AGREGADO 10,5 % de ( 6 )</v>
      </c>
      <c r="C49" s="547">
        <f>IVA_Infraestructura</f>
        <v>0.21</v>
      </c>
      <c r="D49" s="548"/>
      <c r="E49" s="549"/>
      <c r="F49" s="550">
        <f>IF(IVA_Infraestructura=0,,ROUND(IVA_Infraestructura*F47,2))</f>
        <v>0</v>
      </c>
    </row>
    <row r="50" spans="1:6" ht="20.100000000000001" customHeight="1" x14ac:dyDescent="0.2">
      <c r="A50" s="100"/>
      <c r="B50" s="95"/>
      <c r="C50" s="95"/>
      <c r="D50" s="96"/>
      <c r="E50" s="97"/>
      <c r="F50" s="2"/>
    </row>
    <row r="51" spans="1:6" ht="20.100000000000001" customHeight="1" x14ac:dyDescent="0.2">
      <c r="A51" s="560"/>
      <c r="B51" s="561" t="str">
        <f>"PRECIO TOTAL INFRAESTRUCTURA"</f>
        <v>PRECIO TOTAL INFRAESTRUCTURA</v>
      </c>
      <c r="C51" s="561"/>
      <c r="D51" s="562"/>
      <c r="E51" s="563"/>
      <c r="F51" s="564">
        <f>SUM(F6:F40)</f>
        <v>0</v>
      </c>
    </row>
  </sheetData>
  <sheetProtection formatCells="0" selectLockedCells="1"/>
  <mergeCells count="7">
    <mergeCell ref="E7:E8"/>
    <mergeCell ref="F7:F8"/>
    <mergeCell ref="A1:F1"/>
    <mergeCell ref="A7:A8"/>
    <mergeCell ref="B7:B8"/>
    <mergeCell ref="C7:C8"/>
    <mergeCell ref="D7:D8"/>
  </mergeCells>
  <conditionalFormatting sqref="A11:A40">
    <cfRule type="expression" dxfId="129" priority="86" stopIfTrue="1">
      <formula>#REF!&gt;0</formula>
    </cfRule>
    <cfRule type="expression" dxfId="128" priority="87" stopIfTrue="1">
      <formula>#REF!&gt;0</formula>
    </cfRule>
    <cfRule type="expression" dxfId="127" priority="88" stopIfTrue="1">
      <formula>#REF!&gt;0</formula>
    </cfRule>
  </conditionalFormatting>
  <conditionalFormatting sqref="B11:B40">
    <cfRule type="expression" dxfId="126" priority="57" stopIfTrue="1">
      <formula>#REF!&gt;0</formula>
    </cfRule>
    <cfRule type="expression" dxfId="125" priority="58" stopIfTrue="1">
      <formula>#REF!&gt;0</formula>
    </cfRule>
    <cfRule type="expression" dxfId="124" priority="59" stopIfTrue="1">
      <formula>#REF!&gt;0</formula>
    </cfRule>
  </conditionalFormatting>
  <conditionalFormatting sqref="B10:B12 A38:A40">
    <cfRule type="expression" dxfId="123" priority="47">
      <formula>$D10=0</formula>
    </cfRule>
  </conditionalFormatting>
  <conditionalFormatting sqref="A10:B12 A14:A18 A20:A24 A26:A30 A32:A36 A38:A40">
    <cfRule type="expression" dxfId="122" priority="44" stopIfTrue="1">
      <formula>#REF!&gt;0</formula>
    </cfRule>
    <cfRule type="expression" dxfId="121" priority="45" stopIfTrue="1">
      <formula>#REF!&gt;0</formula>
    </cfRule>
    <cfRule type="expression" dxfId="120" priority="46" stopIfTrue="1">
      <formula>#REF!&gt;0</formula>
    </cfRule>
  </conditionalFormatting>
  <conditionalFormatting sqref="A10:A12 A14:A18 A20:A24 A26:A30 A32:A36">
    <cfRule type="expression" dxfId="119" priority="43">
      <formula>$D10=0</formula>
    </cfRule>
  </conditionalFormatting>
  <conditionalFormatting sqref="F42">
    <cfRule type="expression" dxfId="118" priority="2" stopIfTrue="1">
      <formula>#REF!=1</formula>
    </cfRule>
  </conditionalFormatting>
  <conditionalFormatting sqref="B41">
    <cfRule type="expression" dxfId="117" priority="24" stopIfTrue="1">
      <formula>$C41=0</formula>
    </cfRule>
  </conditionalFormatting>
  <conditionalFormatting sqref="A41">
    <cfRule type="expression" dxfId="116" priority="23" stopIfTrue="1">
      <formula>$C41=0</formula>
    </cfRule>
  </conditionalFormatting>
  <conditionalFormatting sqref="F49">
    <cfRule type="expression" dxfId="115" priority="1" stopIfTrue="1">
      <formula>#REF!=1</formula>
    </cfRule>
  </conditionalFormatting>
  <pageMargins left="1.1811023622047245" right="0.78740157480314965" top="0.98425196850393704" bottom="0.78740157480314965" header="0.39370078740157483" footer="0.39370078740157483"/>
  <pageSetup paperSize="9" scale="69" fitToHeight="0" orientation="landscape"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
    <tabColor rgb="FFFF0000"/>
    <pageSetUpPr fitToPage="1"/>
  </sheetPr>
  <dimension ref="A1:Y139"/>
  <sheetViews>
    <sheetView showGridLines="0" view="pageBreakPreview" topLeftCell="A84" zoomScale="90" zoomScaleNormal="100" zoomScaleSheetLayoutView="90" workbookViewId="0">
      <selection activeCell="I89" sqref="I89"/>
    </sheetView>
  </sheetViews>
  <sheetFormatPr baseColWidth="10" defaultColWidth="11.42578125" defaultRowHeight="12.75" x14ac:dyDescent="0.2"/>
  <cols>
    <col min="1" max="1" width="10.140625" style="2" customWidth="1"/>
    <col min="2" max="2" width="30.7109375" style="2" customWidth="1"/>
    <col min="3" max="3" width="49.140625" style="2" customWidth="1"/>
    <col min="4" max="4" width="6.7109375" style="2" customWidth="1"/>
    <col min="5" max="5" width="20.42578125" style="2" customWidth="1"/>
    <col min="6" max="6" width="19.140625" style="2" customWidth="1"/>
    <col min="7" max="7" width="27.5703125" style="2" customWidth="1"/>
    <col min="8" max="8" width="26.85546875" style="2" bestFit="1" customWidth="1"/>
    <col min="9" max="9" width="21.42578125" style="2" bestFit="1" customWidth="1"/>
    <col min="10" max="10" width="14.85546875" style="2" bestFit="1" customWidth="1"/>
    <col min="11" max="11" width="19.42578125" style="2" customWidth="1"/>
    <col min="12" max="12" width="15.28515625" style="2" bestFit="1" customWidth="1"/>
    <col min="13" max="16384" width="11.42578125" style="2"/>
  </cols>
  <sheetData>
    <row r="1" spans="1:25" s="98" customFormat="1" ht="20.100000000000001" customHeight="1" x14ac:dyDescent="0.2">
      <c r="A1" s="98" t="s">
        <v>7</v>
      </c>
      <c r="C1" s="98" t="str">
        <f>Comitente</f>
        <v>INSTITUTO PROVINCIAL DE LA VIVIENDA</v>
      </c>
      <c r="Y1" s="253"/>
    </row>
    <row r="2" spans="1:25" s="249" customFormat="1" ht="20.100000000000001" customHeight="1" x14ac:dyDescent="0.2">
      <c r="A2" s="249" t="s">
        <v>8</v>
      </c>
      <c r="C2" s="425" t="str">
        <f>Obra</f>
        <v>BARRIO JOSÉ AMÉRICO GRIMALT - SECTOR B</v>
      </c>
      <c r="Y2" s="254"/>
    </row>
    <row r="3" spans="1:25" s="249" customFormat="1" ht="20.100000000000001" customHeight="1" x14ac:dyDescent="0.2">
      <c r="A3" s="249" t="s">
        <v>12</v>
      </c>
      <c r="C3" s="425" t="str">
        <f>Ubicación</f>
        <v>DEPTO. ULLÚM</v>
      </c>
      <c r="Y3" s="254"/>
    </row>
    <row r="4" spans="1:25" s="249" customFormat="1" ht="20.100000000000001" customHeight="1" x14ac:dyDescent="0.2">
      <c r="A4" s="249" t="s">
        <v>11</v>
      </c>
      <c r="C4" s="426" t="str">
        <f>Número_Licitación</f>
        <v>08/2019</v>
      </c>
      <c r="Y4" s="254"/>
    </row>
    <row r="5" spans="1:25" s="249" customFormat="1" ht="20.100000000000001" customHeight="1" x14ac:dyDescent="0.2">
      <c r="A5" s="249" t="s">
        <v>32</v>
      </c>
      <c r="C5" s="452">
        <f>Número_Expediente</f>
        <v>0</v>
      </c>
      <c r="Y5" s="254"/>
    </row>
    <row r="6" spans="1:25" s="249" customFormat="1" ht="20.100000000000001" customHeight="1" x14ac:dyDescent="0.2">
      <c r="A6" s="249" t="s">
        <v>14</v>
      </c>
      <c r="C6" s="434">
        <f>Presupuesto_Oficial</f>
        <v>128962339.14067999</v>
      </c>
      <c r="D6" s="255"/>
      <c r="G6" s="593"/>
      <c r="Y6" s="254"/>
    </row>
    <row r="7" spans="1:25" s="249" customFormat="1" ht="20.100000000000001" customHeight="1" x14ac:dyDescent="0.2">
      <c r="A7" s="249" t="s">
        <v>1104</v>
      </c>
      <c r="C7" s="432">
        <f>Anticipo_Financiero</f>
        <v>0.05</v>
      </c>
      <c r="G7" s="593"/>
      <c r="Y7" s="254"/>
    </row>
    <row r="8" spans="1:25" s="249" customFormat="1" ht="20.100000000000001" customHeight="1" x14ac:dyDescent="0.2">
      <c r="A8" s="249" t="s">
        <v>1102</v>
      </c>
      <c r="C8" s="446" t="str">
        <f>Fecha_Apertura</f>
        <v>00/00/0000</v>
      </c>
      <c r="Y8" s="254"/>
    </row>
    <row r="9" spans="1:25" s="249" customFormat="1" ht="20.100000000000001" customHeight="1" x14ac:dyDescent="0.2">
      <c r="A9" s="249" t="s">
        <v>13</v>
      </c>
      <c r="C9" s="427">
        <f>Plazo_Obra</f>
        <v>360</v>
      </c>
      <c r="Y9" s="254"/>
    </row>
    <row r="10" spans="1:25" s="250" customFormat="1" ht="20.100000000000001" customHeight="1" x14ac:dyDescent="0.2">
      <c r="A10" s="250" t="s">
        <v>9</v>
      </c>
      <c r="C10" s="433" t="str">
        <f>Contratista</f>
        <v>xxxxxx</v>
      </c>
      <c r="Y10" s="256"/>
    </row>
    <row r="11" spans="1:25" s="249" customFormat="1" ht="20.100000000000001" customHeight="1" x14ac:dyDescent="0.2">
      <c r="A11" s="249" t="s">
        <v>42</v>
      </c>
      <c r="C11" s="429">
        <f ca="1">Monto_Oferta</f>
        <v>0</v>
      </c>
      <c r="H11" s="616"/>
    </row>
    <row r="12" spans="1:25" s="250" customFormat="1" ht="20.100000000000001" customHeight="1" x14ac:dyDescent="0.2">
      <c r="A12" s="250" t="s">
        <v>1137</v>
      </c>
      <c r="C12" s="431">
        <f>Monto_Terreno</f>
        <v>0</v>
      </c>
      <c r="H12" s="616"/>
    </row>
    <row r="13" spans="1:25" ht="20.100000000000001" customHeight="1" x14ac:dyDescent="0.2">
      <c r="A13" s="125"/>
      <c r="C13" s="126"/>
      <c r="H13" s="589"/>
    </row>
    <row r="14" spans="1:25" ht="20.100000000000001" customHeight="1" x14ac:dyDescent="0.2">
      <c r="A14" s="111" t="s">
        <v>41</v>
      </c>
      <c r="B14" s="112"/>
      <c r="C14" s="112"/>
      <c r="D14" s="112"/>
      <c r="E14" s="112"/>
      <c r="F14" s="112"/>
      <c r="G14" s="112"/>
      <c r="H14" s="113"/>
      <c r="I14" s="609"/>
    </row>
    <row r="15" spans="1:25" ht="20.100000000000001" customHeight="1" x14ac:dyDescent="0.2">
      <c r="I15" s="572"/>
    </row>
    <row r="16" spans="1:25" ht="20.100000000000001" customHeight="1" x14ac:dyDescent="0.2">
      <c r="A16" s="456" t="str">
        <f>"PROTOTIPO 1 - TIPO "&amp;Tipo_P1</f>
        <v>PROTOTIPO 1 - TIPO M 17</v>
      </c>
      <c r="B16" s="115"/>
      <c r="C16" s="98" t="s">
        <v>1124</v>
      </c>
      <c r="D16" s="621">
        <f>Cant_Viv_P1</f>
        <v>49</v>
      </c>
      <c r="E16" s="621"/>
      <c r="F16" s="115"/>
      <c r="G16" s="451" t="str">
        <f>"PRECIO UNIT. "&amp;A16</f>
        <v>PRECIO UNIT. PROTOTIPO 1 - TIPO M 17</v>
      </c>
      <c r="H16" s="266">
        <f>Precio_P1</f>
        <v>0</v>
      </c>
      <c r="I16" s="593"/>
      <c r="J16" s="476"/>
      <c r="K16" s="397"/>
    </row>
    <row r="17" spans="1:11" ht="20.100000000000001" customHeight="1" x14ac:dyDescent="0.2">
      <c r="A17" s="456" t="str">
        <f>IF(Tipo_P2="","","PROTOTIPO 2 - TIPO "&amp;Tipo_P2)</f>
        <v>PROTOTIPO 2 - TIPO M1 17</v>
      </c>
      <c r="B17" s="115"/>
      <c r="C17" s="98" t="str">
        <f>IF(Tipo_P2="","","CANTIDAD VIVIENDAS")</f>
        <v>CANTIDAD VIVIENDAS</v>
      </c>
      <c r="D17" s="621">
        <f>Cant_Viv_P2</f>
        <v>2</v>
      </c>
      <c r="E17" s="621"/>
      <c r="F17" s="115"/>
      <c r="G17" s="451" t="str">
        <f>IF(Tipo_P2="","","PRECIO UNIT. "&amp;A17)</f>
        <v>PRECIO UNIT. PROTOTIPO 2 - TIPO M1 17</v>
      </c>
      <c r="H17" s="266">
        <f>Precio_P2</f>
        <v>0</v>
      </c>
      <c r="I17" s="593"/>
      <c r="J17" s="476"/>
      <c r="K17" s="397"/>
    </row>
    <row r="18" spans="1:11" ht="20.100000000000001" hidden="1" customHeight="1" x14ac:dyDescent="0.2">
      <c r="A18" s="456" t="str">
        <f>IF(Tipo_P3="","","PROTOTIPO 3 - TIPO "&amp;Tipo_P3)</f>
        <v>PROTOTIPO 3 - TIPO G (PB)</v>
      </c>
      <c r="B18" s="115"/>
      <c r="C18" s="98" t="str">
        <f>IF(Tipo_P3="","","CANTIDAD VIVIENDAS")</f>
        <v>CANTIDAD VIVIENDAS</v>
      </c>
      <c r="D18" s="621">
        <f>Cant_Viv_P3</f>
        <v>0</v>
      </c>
      <c r="E18" s="621"/>
      <c r="F18" s="98"/>
      <c r="G18" s="451" t="str">
        <f>IF(Tipo_P3="","","PRECIO UNIT. "&amp;A18)</f>
        <v>PRECIO UNIT. PROTOTIPO 3 - TIPO G (PB)</v>
      </c>
      <c r="H18" s="266">
        <f ca="1">Precio_P3</f>
        <v>0</v>
      </c>
      <c r="I18" s="98"/>
      <c r="K18" s="397"/>
    </row>
    <row r="19" spans="1:11" ht="20.100000000000001" hidden="1" customHeight="1" x14ac:dyDescent="0.2">
      <c r="A19" s="456" t="str">
        <f>IF(Tipo_P4="","","PROTOTIPO 4 - TIPO "&amp;Tipo_P4)</f>
        <v>PROTOTIPO 4 - TIPO F (PRIMER PISO)</v>
      </c>
      <c r="B19" s="115"/>
      <c r="C19" s="98" t="str">
        <f>IF(Tipo_P4="","","CANTIDAD VIVIENDAS")</f>
        <v>CANTIDAD VIVIENDAS</v>
      </c>
      <c r="D19" s="621">
        <f>Cant_Viv_P4</f>
        <v>0</v>
      </c>
      <c r="E19" s="621"/>
      <c r="F19" s="98"/>
      <c r="G19" s="451" t="str">
        <f>IF(Tipo_P4="","","PRECIO UNIT. "&amp;A19)</f>
        <v>PRECIO UNIT. PROTOTIPO 4 - TIPO F (PRIMER PISO)</v>
      </c>
      <c r="H19" s="266">
        <f>PRECIO_P4</f>
        <v>0</v>
      </c>
      <c r="I19" s="98"/>
      <c r="K19" s="397"/>
    </row>
    <row r="20" spans="1:11" ht="20.100000000000001" hidden="1" customHeight="1" x14ac:dyDescent="0.2">
      <c r="A20" s="456" t="str">
        <f>IF(Tipo_P5="","","PROTOTIPO 5 - TIPO "&amp;Tipo_P5)</f>
        <v>PROTOTIPO 5 - TIPO H (PRIMER PISO)</v>
      </c>
      <c r="B20" s="115"/>
      <c r="C20" s="98" t="str">
        <f>IF(Tipo_P5="","","CANTIDAD VIVIENDAS")</f>
        <v>CANTIDAD VIVIENDAS</v>
      </c>
      <c r="D20" s="621">
        <f>Cant_Viv_P5</f>
        <v>0</v>
      </c>
      <c r="E20" s="621"/>
      <c r="F20" s="98"/>
      <c r="G20" s="451" t="str">
        <f>IF(Tipo_P4="","","PRECIO UNIT. "&amp;A20)</f>
        <v>PRECIO UNIT. PROTOTIPO 5 - TIPO H (PRIMER PISO)</v>
      </c>
      <c r="H20" s="266">
        <f ca="1">PRECIO_P5</f>
        <v>0</v>
      </c>
      <c r="I20" s="98"/>
      <c r="K20" s="397"/>
    </row>
    <row r="21" spans="1:11" ht="20.100000000000001" hidden="1" customHeight="1" x14ac:dyDescent="0.2">
      <c r="A21" s="456" t="str">
        <f>IF(Tipo_P6="","","PROTOTIPO 6 - TIPO "&amp;Tipo_P6)</f>
        <v>PROTOTIPO 6 - TIPO G (PRIMER PISO)</v>
      </c>
      <c r="B21" s="115"/>
      <c r="C21" s="98" t="str">
        <f>IF(Tipo_P6="","","CANTIDAD VIVIENDAS")</f>
        <v>CANTIDAD VIVIENDAS</v>
      </c>
      <c r="D21" s="621">
        <f>Cant_Viv_P6</f>
        <v>0</v>
      </c>
      <c r="E21" s="621"/>
      <c r="F21" s="98"/>
      <c r="G21" s="451" t="str">
        <f>IF(Tipo_P4="","","PRECIO UNIT. "&amp;A21)</f>
        <v>PRECIO UNIT. PROTOTIPO 6 - TIPO G (PRIMER PISO)</v>
      </c>
      <c r="H21" s="266">
        <f ca="1">PRECIO_P6</f>
        <v>0</v>
      </c>
      <c r="I21" s="98"/>
      <c r="K21" s="397"/>
    </row>
    <row r="22" spans="1:11" ht="20.100000000000001" hidden="1" customHeight="1" x14ac:dyDescent="0.2">
      <c r="A22" s="456" t="str">
        <f>IF(Tipo_P7="","","PROTOTIPO 7 - TIPO "&amp;Tipo_P7)</f>
        <v>PROTOTIPO 7 - TIPO G (SEGUNDO PISO)</v>
      </c>
      <c r="B22" s="115"/>
      <c r="C22" s="98" t="str">
        <f>IF(Tipo_P7="","","CANTIDAD VIVIENDAS")</f>
        <v>CANTIDAD VIVIENDAS</v>
      </c>
      <c r="D22" s="621">
        <f>Cant_Viv_P7</f>
        <v>0</v>
      </c>
      <c r="E22" s="621"/>
      <c r="F22" s="98"/>
      <c r="G22" s="451" t="str">
        <f>IF(Tipo_P7="","","PRECIO UNIT. "&amp;A22)</f>
        <v>PRECIO UNIT. PROTOTIPO 7 - TIPO G (SEGUNDO PISO)</v>
      </c>
      <c r="H22" s="266">
        <f ca="1">PRECIO_P7</f>
        <v>0</v>
      </c>
      <c r="I22" s="98"/>
      <c r="K22" s="397"/>
    </row>
    <row r="23" spans="1:11" ht="20.100000000000001" hidden="1" customHeight="1" x14ac:dyDescent="0.2">
      <c r="A23" s="456" t="str">
        <f>'Espacios Comunes'!B4</f>
        <v>ESPACIO COMUN</v>
      </c>
      <c r="B23" s="115"/>
      <c r="C23" s="98"/>
      <c r="D23" s="622">
        <f>'Espacios Comunes'!B5</f>
        <v>0</v>
      </c>
      <c r="E23" s="622"/>
      <c r="F23" s="98"/>
      <c r="G23" s="451" t="str">
        <f>'Espacios Comunes'!B105</f>
        <v>PRECIO TOTAL ESPACIO COMUN</v>
      </c>
      <c r="H23" s="266">
        <f ca="1">'Espacios Comunes'!F105</f>
        <v>0</v>
      </c>
      <c r="I23" s="98"/>
      <c r="K23" s="397"/>
    </row>
    <row r="24" spans="1:11" ht="20.100000000000001" customHeight="1" x14ac:dyDescent="0.2">
      <c r="A24" s="524"/>
      <c r="B24" s="115"/>
      <c r="C24" s="98"/>
      <c r="D24" s="522"/>
      <c r="E24" s="522"/>
      <c r="F24" s="98"/>
      <c r="G24" s="451"/>
      <c r="H24" s="266"/>
      <c r="I24" s="98"/>
      <c r="K24" s="397"/>
    </row>
    <row r="25" spans="1:11" ht="20.100000000000001" customHeight="1" x14ac:dyDescent="0.2">
      <c r="A25" s="162"/>
      <c r="B25" s="525"/>
      <c r="C25" s="525"/>
      <c r="D25" s="526"/>
      <c r="E25" s="526"/>
      <c r="F25" s="523"/>
      <c r="G25" s="523"/>
      <c r="H25" s="525"/>
      <c r="I25" s="89"/>
    </row>
    <row r="26" spans="1:11" ht="25.5" x14ac:dyDescent="0.2">
      <c r="A26" s="232" t="s">
        <v>1105</v>
      </c>
      <c r="B26" s="618" t="s">
        <v>0</v>
      </c>
      <c r="C26" s="618"/>
      <c r="D26" s="232" t="s">
        <v>1</v>
      </c>
      <c r="E26" s="232" t="s">
        <v>2</v>
      </c>
      <c r="F26" s="232" t="s">
        <v>1150</v>
      </c>
      <c r="G26" s="232" t="s">
        <v>1151</v>
      </c>
      <c r="H26" s="232" t="s">
        <v>1118</v>
      </c>
      <c r="I26" s="232" t="s">
        <v>10</v>
      </c>
    </row>
    <row r="27" spans="1:11" ht="20.100000000000001" customHeight="1" x14ac:dyDescent="0.2">
      <c r="A27" s="117"/>
      <c r="B27" s="118"/>
      <c r="C27" s="118"/>
      <c r="D27" s="117"/>
      <c r="E27" s="117"/>
      <c r="F27" s="118"/>
      <c r="G27" s="118"/>
      <c r="H27" s="114"/>
      <c r="I27" s="89"/>
    </row>
    <row r="28" spans="1:11" ht="20.100000000000001" customHeight="1" x14ac:dyDescent="0.2">
      <c r="A28" s="226" t="str">
        <f>Datos!B35</f>
        <v>A</v>
      </c>
      <c r="B28" s="85" t="str">
        <f>IFERROR(VLOOKUP(A28,Tabla_Datos,2,FALSE),0)</f>
        <v>VIVIENDA</v>
      </c>
      <c r="C28" s="90"/>
      <c r="D28" s="91"/>
      <c r="E28" s="92"/>
      <c r="F28" s="93"/>
      <c r="G28" s="93"/>
      <c r="H28" s="93"/>
      <c r="I28" s="5"/>
    </row>
    <row r="29" spans="1:11" ht="20.100000000000001" customHeight="1" x14ac:dyDescent="0.2">
      <c r="A29" s="226">
        <f>Datos!B36</f>
        <v>1</v>
      </c>
      <c r="B29" s="85" t="str">
        <f>IFERROR(VLOOKUP(A29,Tabla_Datos,2,FALSE),0)</f>
        <v>Limpieza de terreno y replanteo</v>
      </c>
      <c r="C29" s="90"/>
      <c r="D29" s="91" t="str">
        <f>IFERROR(VLOOKUP(A29,Tabla_Datos,3,FALSE),0)</f>
        <v>gl</v>
      </c>
      <c r="E29" s="92">
        <f t="shared" ref="E29:E61" si="0">ROUND(IFERROR(VLOOKUP(A29,Tabla_P1,4,FALSE)*Cant_Viv_P1,0)+IFERROR(VLOOKUP(A29,Tabla_P2,4,FALSE)*Cant_Viv_P2,0)+IFERROR(VLOOKUP(A29,Tabla_P3,4,FALSE)*Cant_Viv_P3,0)+IFERROR(VLOOKUP(A29,Tabla_P4,4,FALSE)*Cant_Viv_P4,0)+IFERROR(VLOOKUP(A29,Tabla_P5,4,FALSE)*Cant_Viv_P5,0)+IFERROR(VLOOKUP(A29,Tabla_P6,4,FALSE)*Cant_Viv_P6,0)+IFERROR(VLOOKUP(A29,Tabla_P7,4,FALSE)*Cant_Viv_P7,0)++IFERROR(VLOOKUP(A29,Tabla_EC,4,FALSE)*EspacioComun,0),2)</f>
        <v>51</v>
      </c>
      <c r="F29" s="93">
        <f>IFERROR(VLOOKUP(A29,Tabla_AP,7,FALSE),0)</f>
        <v>0</v>
      </c>
      <c r="G29" s="93">
        <f t="shared" ref="G29:G61" si="1">ROUND(PrecioUnitario(F29,Costo_Financiero,Gastos_Generales,Beneficio,Ingresos_Brutos,IVA_Vivienda),5)</f>
        <v>0</v>
      </c>
      <c r="H29" s="93">
        <f>ROUND(E29*G29,5)</f>
        <v>0</v>
      </c>
      <c r="I29" s="5">
        <f ca="1">IFERROR(H29/Monto_Oferta,0)</f>
        <v>0</v>
      </c>
    </row>
    <row r="30" spans="1:11" ht="20.100000000000001" customHeight="1" x14ac:dyDescent="0.2">
      <c r="A30" s="226">
        <f>Datos!B37</f>
        <v>2</v>
      </c>
      <c r="B30" s="85" t="str">
        <f t="shared" ref="B30:B54" si="2">IFERROR(VLOOKUP(A30,Tabla_Datos,2,FALSE),0)</f>
        <v>Excavación de Cimientos</v>
      </c>
      <c r="C30" s="90"/>
      <c r="D30" s="91" t="str">
        <f t="shared" ref="D30:D54" si="3">IFERROR(VLOOKUP(A30,Tabla_Datos,3,FALSE),0)</f>
        <v>m3</v>
      </c>
      <c r="E30" s="92">
        <f>ROUND(IFERROR(VLOOKUP(A30,Tabla_P1,4,FALSE)*Cant_Viv_P1,0)+IFERROR(VLOOKUP(A30,Tabla_P2,4,FALSE)*Cant_Viv_P2,0)+IFERROR(VLOOKUP(A30,Tabla_P3,4,FALSE)*Cant_Viv_P3,0)+IFERROR(VLOOKUP(A30,Tabla_P4,4,FALSE)*Cant_Viv_P4,0)+IFERROR(VLOOKUP(A30,Tabla_P5,4,FALSE)*Cant_Viv_P5,0)+IFERROR(VLOOKUP(A30,Tabla_P6,4,FALSE)*Cant_Viv_P6,0)+IFERROR(VLOOKUP(A30,Tabla_P7,4,FALSE)*Cant_Viv_P7,0)++IFERROR(VLOOKUP(A30,Tabla_EC,4,FALSE)*EspacioComun,0),2)</f>
        <v>708.9</v>
      </c>
      <c r="F30" s="93">
        <f t="shared" ref="F30:F54" si="4">IFERROR(VLOOKUP(A30,Tabla_AP,7,FALSE),0)</f>
        <v>0</v>
      </c>
      <c r="G30" s="93">
        <f t="shared" si="1"/>
        <v>0</v>
      </c>
      <c r="H30" s="93">
        <f t="shared" ref="H30:H73" si="5">ROUND(E30*G30,5)</f>
        <v>0</v>
      </c>
      <c r="I30" s="5">
        <f t="shared" ref="I30:I54" ca="1" si="6">IFERROR(H30/Monto_Oferta,0)</f>
        <v>0</v>
      </c>
    </row>
    <row r="31" spans="1:11" ht="20.100000000000001" customHeight="1" x14ac:dyDescent="0.2">
      <c r="A31" s="226">
        <f>Datos!B38</f>
        <v>3</v>
      </c>
      <c r="B31" s="85" t="str">
        <f t="shared" si="2"/>
        <v xml:space="preserve">Relleno Bajo Contrapiso </v>
      </c>
      <c r="C31" s="90"/>
      <c r="D31" s="91" t="str">
        <f t="shared" si="3"/>
        <v>m3</v>
      </c>
      <c r="E31" s="92">
        <f t="shared" si="0"/>
        <v>430.44</v>
      </c>
      <c r="F31" s="93">
        <f>IFERROR(VLOOKUP(A31,Tabla_AP,7,FALSE),0)</f>
        <v>0</v>
      </c>
      <c r="G31" s="93">
        <f t="shared" si="1"/>
        <v>0</v>
      </c>
      <c r="H31" s="93">
        <f t="shared" si="5"/>
        <v>0</v>
      </c>
      <c r="I31" s="5">
        <f t="shared" ca="1" si="6"/>
        <v>0</v>
      </c>
    </row>
    <row r="32" spans="1:11" ht="20.100000000000001" customHeight="1" x14ac:dyDescent="0.2">
      <c r="A32" s="226">
        <f>Datos!B39</f>
        <v>4</v>
      </c>
      <c r="B32" s="85" t="str">
        <f t="shared" si="2"/>
        <v>Hormigón de limpieza</v>
      </c>
      <c r="C32" s="90"/>
      <c r="D32" s="91" t="str">
        <f t="shared" si="3"/>
        <v>m2</v>
      </c>
      <c r="E32" s="92">
        <f t="shared" si="0"/>
        <v>91.8</v>
      </c>
      <c r="F32" s="93">
        <f t="shared" si="4"/>
        <v>0</v>
      </c>
      <c r="G32" s="93">
        <f t="shared" si="1"/>
        <v>0</v>
      </c>
      <c r="H32" s="93">
        <f t="shared" si="5"/>
        <v>0</v>
      </c>
      <c r="I32" s="5">
        <f t="shared" ca="1" si="6"/>
        <v>0</v>
      </c>
    </row>
    <row r="33" spans="1:11" ht="20.100000000000001" customHeight="1" x14ac:dyDescent="0.2">
      <c r="A33" s="226">
        <f>Datos!B40</f>
        <v>5</v>
      </c>
      <c r="B33" s="85" t="str">
        <f t="shared" si="2"/>
        <v>Cimiento Ciclópeo H 13</v>
      </c>
      <c r="C33" s="90"/>
      <c r="D33" s="91" t="str">
        <f t="shared" si="3"/>
        <v>m3</v>
      </c>
      <c r="E33" s="92">
        <f t="shared" si="0"/>
        <v>644.13</v>
      </c>
      <c r="F33" s="93">
        <f t="shared" si="4"/>
        <v>0</v>
      </c>
      <c r="G33" s="93">
        <f t="shared" si="1"/>
        <v>0</v>
      </c>
      <c r="H33" s="93">
        <f t="shared" si="5"/>
        <v>0</v>
      </c>
      <c r="I33" s="5">
        <f t="shared" ca="1" si="6"/>
        <v>0</v>
      </c>
      <c r="K33" s="476"/>
    </row>
    <row r="34" spans="1:11" ht="20.100000000000001" customHeight="1" x14ac:dyDescent="0.2">
      <c r="A34" s="226">
        <f>Datos!B41</f>
        <v>6</v>
      </c>
      <c r="B34" s="85" t="str">
        <f t="shared" si="2"/>
        <v>Dado Fundación  h=15cm</v>
      </c>
      <c r="C34" s="90"/>
      <c r="D34" s="91" t="str">
        <f t="shared" si="3"/>
        <v>m3</v>
      </c>
      <c r="E34" s="92">
        <f t="shared" si="0"/>
        <v>52.02</v>
      </c>
      <c r="F34" s="93">
        <f t="shared" si="4"/>
        <v>0</v>
      </c>
      <c r="G34" s="93">
        <f t="shared" si="1"/>
        <v>0</v>
      </c>
      <c r="H34" s="93">
        <f t="shared" si="5"/>
        <v>0</v>
      </c>
      <c r="I34" s="5">
        <f t="shared" ca="1" si="6"/>
        <v>0</v>
      </c>
    </row>
    <row r="35" spans="1:11" ht="20.100000000000001" customHeight="1" x14ac:dyDescent="0.2">
      <c r="A35" s="226">
        <f>Datos!B42</f>
        <v>7</v>
      </c>
      <c r="B35" s="85" t="str">
        <f t="shared" si="2"/>
        <v>Vigas de Encadenado Inferior - Fundación  H 17</v>
      </c>
      <c r="C35" s="90"/>
      <c r="D35" s="91" t="str">
        <f t="shared" si="3"/>
        <v>m3</v>
      </c>
      <c r="E35" s="92">
        <f t="shared" si="0"/>
        <v>98.94</v>
      </c>
      <c r="F35" s="93">
        <f t="shared" si="4"/>
        <v>0</v>
      </c>
      <c r="G35" s="93">
        <f t="shared" si="1"/>
        <v>0</v>
      </c>
      <c r="H35" s="93">
        <f t="shared" si="5"/>
        <v>0</v>
      </c>
      <c r="I35" s="5">
        <f t="shared" ca="1" si="6"/>
        <v>0</v>
      </c>
    </row>
    <row r="36" spans="1:11" ht="20.100000000000001" customHeight="1" x14ac:dyDescent="0.2">
      <c r="A36" s="226">
        <f>Datos!B43</f>
        <v>8</v>
      </c>
      <c r="B36" s="85" t="str">
        <f t="shared" si="2"/>
        <v>Columna de Encadenado (incluye tronco de columna)</v>
      </c>
      <c r="C36" s="90"/>
      <c r="D36" s="91" t="str">
        <f t="shared" si="3"/>
        <v>m3</v>
      </c>
      <c r="E36" s="92">
        <f t="shared" si="0"/>
        <v>162.18</v>
      </c>
      <c r="F36" s="93">
        <f t="shared" si="4"/>
        <v>0</v>
      </c>
      <c r="G36" s="93">
        <f t="shared" si="1"/>
        <v>0</v>
      </c>
      <c r="H36" s="93">
        <f t="shared" si="5"/>
        <v>0</v>
      </c>
      <c r="I36" s="5">
        <f t="shared" ca="1" si="6"/>
        <v>0</v>
      </c>
    </row>
    <row r="37" spans="1:11" ht="20.100000000000001" customHeight="1" x14ac:dyDescent="0.2">
      <c r="A37" s="226">
        <f>Datos!B44</f>
        <v>9</v>
      </c>
      <c r="B37" s="85" t="str">
        <f t="shared" si="2"/>
        <v>Vigas de Encadenado Superior, Dintel y de Carga</v>
      </c>
      <c r="C37" s="90"/>
      <c r="D37" s="91" t="str">
        <f t="shared" si="3"/>
        <v>m3</v>
      </c>
      <c r="E37" s="92">
        <f t="shared" si="0"/>
        <v>114.75</v>
      </c>
      <c r="F37" s="93">
        <f t="shared" si="4"/>
        <v>0</v>
      </c>
      <c r="G37" s="93">
        <f t="shared" si="1"/>
        <v>0</v>
      </c>
      <c r="H37" s="93">
        <f t="shared" si="5"/>
        <v>0</v>
      </c>
      <c r="I37" s="5">
        <f t="shared" ca="1" si="6"/>
        <v>0</v>
      </c>
    </row>
    <row r="38" spans="1:11" ht="20.100000000000001" customHeight="1" x14ac:dyDescent="0.2">
      <c r="A38" s="226">
        <f>Datos!B45</f>
        <v>10</v>
      </c>
      <c r="B38" s="85" t="str">
        <f t="shared" si="2"/>
        <v>Losa de Hormigón Armado</v>
      </c>
      <c r="C38" s="90"/>
      <c r="D38" s="91" t="str">
        <f t="shared" si="3"/>
        <v>m3</v>
      </c>
      <c r="E38" s="92">
        <f t="shared" si="0"/>
        <v>141.27000000000001</v>
      </c>
      <c r="F38" s="93">
        <f t="shared" si="4"/>
        <v>0</v>
      </c>
      <c r="G38" s="93">
        <f t="shared" si="1"/>
        <v>0</v>
      </c>
      <c r="H38" s="93">
        <f t="shared" si="5"/>
        <v>0</v>
      </c>
      <c r="I38" s="5">
        <f t="shared" ca="1" si="6"/>
        <v>0</v>
      </c>
    </row>
    <row r="39" spans="1:11" ht="20.100000000000001" customHeight="1" x14ac:dyDescent="0.2">
      <c r="A39" s="226">
        <f>Datos!B46</f>
        <v>11</v>
      </c>
      <c r="B39" s="85" t="str">
        <f t="shared" si="2"/>
        <v>Tanque de Reserva (incluido cierre base tanque)</v>
      </c>
      <c r="C39" s="90"/>
      <c r="D39" s="91" t="str">
        <f t="shared" si="3"/>
        <v>gl</v>
      </c>
      <c r="E39" s="92">
        <f t="shared" si="0"/>
        <v>51</v>
      </c>
      <c r="F39" s="93">
        <f t="shared" si="4"/>
        <v>0</v>
      </c>
      <c r="G39" s="93">
        <f t="shared" si="1"/>
        <v>0</v>
      </c>
      <c r="H39" s="93">
        <f t="shared" si="5"/>
        <v>0</v>
      </c>
      <c r="I39" s="5">
        <f t="shared" ca="1" si="6"/>
        <v>0</v>
      </c>
    </row>
    <row r="40" spans="1:11" ht="20.100000000000001" customHeight="1" x14ac:dyDescent="0.2">
      <c r="A40" s="226">
        <f>Datos!B47</f>
        <v>12</v>
      </c>
      <c r="B40" s="85" t="str">
        <f t="shared" si="2"/>
        <v>Capa aisladora horizontal  18cm</v>
      </c>
      <c r="C40" s="90"/>
      <c r="D40" s="91" t="str">
        <f t="shared" si="3"/>
        <v>m2</v>
      </c>
      <c r="E40" s="92">
        <f t="shared" si="0"/>
        <v>367.2</v>
      </c>
      <c r="F40" s="93">
        <f t="shared" si="4"/>
        <v>0</v>
      </c>
      <c r="G40" s="93">
        <f t="shared" si="1"/>
        <v>0</v>
      </c>
      <c r="H40" s="93">
        <f t="shared" si="5"/>
        <v>0</v>
      </c>
      <c r="I40" s="5">
        <f t="shared" ca="1" si="6"/>
        <v>0</v>
      </c>
    </row>
    <row r="41" spans="1:11" ht="20.100000000000001" customHeight="1" x14ac:dyDescent="0.2">
      <c r="A41" s="226">
        <f>Datos!B48</f>
        <v>13</v>
      </c>
      <c r="B41" s="85" t="str">
        <f t="shared" si="2"/>
        <v xml:space="preserve">Mampostería Ladrillón Cerámico Macizo (soga) </v>
      </c>
      <c r="C41" s="90"/>
      <c r="D41" s="91" t="str">
        <f t="shared" si="3"/>
        <v>m2</v>
      </c>
      <c r="E41" s="92">
        <f t="shared" si="0"/>
        <v>4355.3999999999996</v>
      </c>
      <c r="F41" s="93">
        <f t="shared" si="4"/>
        <v>0</v>
      </c>
      <c r="G41" s="93">
        <f t="shared" si="1"/>
        <v>0</v>
      </c>
      <c r="H41" s="93">
        <f t="shared" si="5"/>
        <v>0</v>
      </c>
      <c r="I41" s="5">
        <f t="shared" ca="1" si="6"/>
        <v>0</v>
      </c>
    </row>
    <row r="42" spans="1:11" ht="20.100000000000001" customHeight="1" x14ac:dyDescent="0.2">
      <c r="A42" s="226">
        <f>Datos!B49</f>
        <v>14</v>
      </c>
      <c r="B42" s="85" t="str">
        <f t="shared" si="2"/>
        <v>Tabique  Liviano  tipo Durlock ( con placa de yeso de 12,5 mm para sectores húmedos)</v>
      </c>
      <c r="C42" s="90"/>
      <c r="D42" s="91" t="str">
        <f t="shared" si="3"/>
        <v>m2</v>
      </c>
      <c r="E42" s="92">
        <f t="shared" si="0"/>
        <v>246.33</v>
      </c>
      <c r="F42" s="93">
        <f t="shared" si="4"/>
        <v>0</v>
      </c>
      <c r="G42" s="93">
        <f t="shared" si="1"/>
        <v>0</v>
      </c>
      <c r="H42" s="93">
        <f t="shared" si="5"/>
        <v>0</v>
      </c>
      <c r="I42" s="5">
        <f t="shared" ca="1" si="6"/>
        <v>0</v>
      </c>
    </row>
    <row r="43" spans="1:11" ht="20.100000000000001" customHeight="1" x14ac:dyDescent="0.2">
      <c r="A43" s="226">
        <f>Datos!B50</f>
        <v>15</v>
      </c>
      <c r="B43" s="85" t="str">
        <f t="shared" si="2"/>
        <v>Techo de Madera (rollizo Ø 16cm, machimbre 3/4", pintura asfáltica, polietileno de 200 micrones, barniz protector insecticida )</v>
      </c>
      <c r="C43" s="90"/>
      <c r="D43" s="91" t="str">
        <f t="shared" si="3"/>
        <v>m2</v>
      </c>
      <c r="E43" s="92">
        <f t="shared" si="0"/>
        <v>1179.6300000000001</v>
      </c>
      <c r="F43" s="93">
        <f t="shared" si="4"/>
        <v>0</v>
      </c>
      <c r="G43" s="93">
        <f t="shared" si="1"/>
        <v>0</v>
      </c>
      <c r="H43" s="93">
        <f t="shared" si="5"/>
        <v>0</v>
      </c>
      <c r="I43" s="5">
        <f t="shared" ca="1" si="6"/>
        <v>0</v>
      </c>
    </row>
    <row r="44" spans="1:11" ht="20.100000000000001" customHeight="1" x14ac:dyDescent="0.2">
      <c r="A44" s="226">
        <f>Datos!B51</f>
        <v>16</v>
      </c>
      <c r="B44" s="85" t="str">
        <f t="shared" si="2"/>
        <v>Cubierta de Techo Aislación Térmica e Hidráulica</v>
      </c>
      <c r="C44" s="90"/>
      <c r="D44" s="91" t="str">
        <f t="shared" si="3"/>
        <v>m2</v>
      </c>
      <c r="E44" s="92">
        <f t="shared" si="0"/>
        <v>3157.92</v>
      </c>
      <c r="F44" s="93">
        <f t="shared" si="4"/>
        <v>0</v>
      </c>
      <c r="G44" s="93">
        <f t="shared" si="1"/>
        <v>0</v>
      </c>
      <c r="H44" s="93">
        <f t="shared" si="5"/>
        <v>0</v>
      </c>
      <c r="I44" s="5">
        <f t="shared" ca="1" si="6"/>
        <v>0</v>
      </c>
    </row>
    <row r="45" spans="1:11" ht="20.100000000000001" customHeight="1" x14ac:dyDescent="0.2">
      <c r="A45" s="226">
        <f>Datos!B52</f>
        <v>17</v>
      </c>
      <c r="B45" s="85" t="str">
        <f t="shared" si="2"/>
        <v>Contrapiso  Interior</v>
      </c>
      <c r="C45" s="90"/>
      <c r="D45" s="91" t="str">
        <f t="shared" si="3"/>
        <v>m2</v>
      </c>
      <c r="E45" s="92">
        <f t="shared" si="0"/>
        <v>2620.38</v>
      </c>
      <c r="F45" s="93">
        <f t="shared" si="4"/>
        <v>0</v>
      </c>
      <c r="G45" s="93">
        <f t="shared" si="1"/>
        <v>0</v>
      </c>
      <c r="H45" s="93">
        <f t="shared" si="5"/>
        <v>0</v>
      </c>
      <c r="I45" s="5">
        <f t="shared" ca="1" si="6"/>
        <v>0</v>
      </c>
    </row>
    <row r="46" spans="1:11" ht="20.100000000000001" customHeight="1" x14ac:dyDescent="0.2">
      <c r="A46" s="226">
        <f>Datos!B53</f>
        <v>18</v>
      </c>
      <c r="B46" s="85" t="str">
        <f t="shared" si="2"/>
        <v>Carpeta bajo Cerámico e=4cm</v>
      </c>
      <c r="C46" s="90"/>
      <c r="D46" s="91" t="str">
        <f t="shared" si="3"/>
        <v>m2</v>
      </c>
      <c r="E46" s="92">
        <f t="shared" si="0"/>
        <v>2620.38</v>
      </c>
      <c r="F46" s="93">
        <f t="shared" si="4"/>
        <v>0</v>
      </c>
      <c r="G46" s="93">
        <f t="shared" si="1"/>
        <v>0</v>
      </c>
      <c r="H46" s="93">
        <f t="shared" si="5"/>
        <v>0</v>
      </c>
      <c r="I46" s="5">
        <f t="shared" ca="1" si="6"/>
        <v>0</v>
      </c>
    </row>
    <row r="47" spans="1:11" ht="20.100000000000001" customHeight="1" x14ac:dyDescent="0.2">
      <c r="A47" s="226">
        <f>Datos!B54</f>
        <v>19</v>
      </c>
      <c r="B47" s="85" t="str">
        <f t="shared" si="2"/>
        <v>Piso baldosa cerámica (incluido umbrales)</v>
      </c>
      <c r="C47" s="90"/>
      <c r="D47" s="91" t="str">
        <f t="shared" si="3"/>
        <v>m2</v>
      </c>
      <c r="E47" s="92">
        <f t="shared" si="0"/>
        <v>2620.38</v>
      </c>
      <c r="F47" s="93">
        <f t="shared" si="4"/>
        <v>0</v>
      </c>
      <c r="G47" s="93">
        <f t="shared" si="1"/>
        <v>0</v>
      </c>
      <c r="H47" s="93">
        <f t="shared" si="5"/>
        <v>0</v>
      </c>
      <c r="I47" s="5">
        <f t="shared" ca="1" si="6"/>
        <v>0</v>
      </c>
    </row>
    <row r="48" spans="1:11" ht="20.100000000000001" customHeight="1" x14ac:dyDescent="0.2">
      <c r="A48" s="226">
        <f>Datos!B55</f>
        <v>20</v>
      </c>
      <c r="B48" s="85" t="str">
        <f t="shared" si="2"/>
        <v>Contrapisos de Veredín perimetral, vereda de acceso y galería</v>
      </c>
      <c r="C48" s="90"/>
      <c r="D48" s="91" t="str">
        <f t="shared" si="3"/>
        <v>m2</v>
      </c>
      <c r="E48" s="92">
        <f t="shared" si="0"/>
        <v>2810.26</v>
      </c>
      <c r="F48" s="93">
        <f t="shared" si="4"/>
        <v>0</v>
      </c>
      <c r="G48" s="93">
        <f t="shared" si="1"/>
        <v>0</v>
      </c>
      <c r="H48" s="93">
        <f t="shared" si="5"/>
        <v>0</v>
      </c>
      <c r="I48" s="5">
        <f t="shared" ca="1" si="6"/>
        <v>0</v>
      </c>
    </row>
    <row r="49" spans="1:9" ht="20.100000000000001" customHeight="1" x14ac:dyDescent="0.2">
      <c r="A49" s="226">
        <f>Datos!B56</f>
        <v>21</v>
      </c>
      <c r="B49" s="85" t="str">
        <f t="shared" si="2"/>
        <v>Zócalo cerámico - esp.= 7cm</v>
      </c>
      <c r="C49" s="90"/>
      <c r="D49" s="91" t="str">
        <f t="shared" si="3"/>
        <v>m2</v>
      </c>
      <c r="E49" s="92">
        <f t="shared" si="0"/>
        <v>2312.34</v>
      </c>
      <c r="F49" s="93">
        <f t="shared" si="4"/>
        <v>0</v>
      </c>
      <c r="G49" s="93">
        <f t="shared" si="1"/>
        <v>0</v>
      </c>
      <c r="H49" s="93">
        <f t="shared" si="5"/>
        <v>0</v>
      </c>
      <c r="I49" s="5">
        <f t="shared" ca="1" si="6"/>
        <v>0</v>
      </c>
    </row>
    <row r="50" spans="1:9" ht="20.100000000000001" customHeight="1" x14ac:dyDescent="0.2">
      <c r="A50" s="226">
        <f>Datos!B57</f>
        <v>22</v>
      </c>
      <c r="B50" s="85" t="str">
        <f t="shared" si="2"/>
        <v>Carpinterías metálica, aluminio y madera</v>
      </c>
      <c r="C50" s="90"/>
      <c r="D50" s="91" t="str">
        <f t="shared" si="3"/>
        <v>gl</v>
      </c>
      <c r="E50" s="92">
        <f t="shared" si="0"/>
        <v>51</v>
      </c>
      <c r="F50" s="93">
        <f t="shared" si="4"/>
        <v>0</v>
      </c>
      <c r="G50" s="93">
        <f t="shared" si="1"/>
        <v>0</v>
      </c>
      <c r="H50" s="93">
        <f t="shared" si="5"/>
        <v>0</v>
      </c>
      <c r="I50" s="5">
        <f t="shared" ca="1" si="6"/>
        <v>0</v>
      </c>
    </row>
    <row r="51" spans="1:9" ht="20.100000000000001" customHeight="1" x14ac:dyDescent="0.2">
      <c r="A51" s="226">
        <f>Datos!B58</f>
        <v>23</v>
      </c>
      <c r="B51" s="85" t="str">
        <f>IFERROR(VLOOKUP(A51,Tabla_Datos,2,FALSE),0)</f>
        <v>Jaharro b/ revestimiento cerámico</v>
      </c>
      <c r="C51" s="90"/>
      <c r="D51" s="91" t="str">
        <f>IFERROR(VLOOKUP(A51,Tabla_Datos,3,FALSE),0)</f>
        <v>m2</v>
      </c>
      <c r="E51" s="92">
        <f t="shared" si="0"/>
        <v>780.3</v>
      </c>
      <c r="F51" s="93">
        <f>IFERROR(VLOOKUP(A51,Tabla_AP,7,FALSE),0)</f>
        <v>0</v>
      </c>
      <c r="G51" s="93">
        <f t="shared" si="1"/>
        <v>0</v>
      </c>
      <c r="H51" s="93">
        <f t="shared" si="5"/>
        <v>0</v>
      </c>
      <c r="I51" s="5">
        <f ca="1">IFERROR(H51/Monto_Oferta,0)</f>
        <v>0</v>
      </c>
    </row>
    <row r="52" spans="1:9" ht="20.100000000000001" customHeight="1" x14ac:dyDescent="0.2">
      <c r="A52" s="226">
        <f>Datos!B59</f>
        <v>24</v>
      </c>
      <c r="B52" s="85" t="str">
        <f>IFERROR(VLOOKUP(A52,Tabla_Datos,2,FALSE),0)</f>
        <v>Jaharro y Enlucido a la cal (interior)</v>
      </c>
      <c r="C52" s="90"/>
      <c r="D52" s="91" t="str">
        <f>IFERROR(VLOOKUP(A52,Tabla_Datos,3,FALSE),0)</f>
        <v>m2</v>
      </c>
      <c r="E52" s="92">
        <f t="shared" si="0"/>
        <v>6063.39</v>
      </c>
      <c r="F52" s="93">
        <f>IFERROR(VLOOKUP(A52,Tabla_AP,7,FALSE),0)</f>
        <v>0</v>
      </c>
      <c r="G52" s="93">
        <f t="shared" si="1"/>
        <v>0</v>
      </c>
      <c r="H52" s="93">
        <f t="shared" si="5"/>
        <v>0</v>
      </c>
      <c r="I52" s="5">
        <f ca="1">IFERROR(H52/Monto_Oferta,0)</f>
        <v>0</v>
      </c>
    </row>
    <row r="53" spans="1:9" ht="20.100000000000001" customHeight="1" x14ac:dyDescent="0.2">
      <c r="A53" s="226">
        <f>Datos!B60</f>
        <v>25</v>
      </c>
      <c r="B53" s="85" t="str">
        <f t="shared" si="2"/>
        <v>Revestimiento cerámico</v>
      </c>
      <c r="C53" s="90"/>
      <c r="D53" s="91" t="str">
        <f t="shared" si="3"/>
        <v>m2</v>
      </c>
      <c r="E53" s="92">
        <f t="shared" si="0"/>
        <v>780.3</v>
      </c>
      <c r="F53" s="93">
        <f t="shared" si="4"/>
        <v>0</v>
      </c>
      <c r="G53" s="93">
        <f t="shared" si="1"/>
        <v>0</v>
      </c>
      <c r="H53" s="93">
        <f t="shared" si="5"/>
        <v>0</v>
      </c>
      <c r="I53" s="5">
        <f t="shared" ca="1" si="6"/>
        <v>0</v>
      </c>
    </row>
    <row r="54" spans="1:9" ht="20.100000000000001" customHeight="1" x14ac:dyDescent="0.2">
      <c r="A54" s="226">
        <f>Datos!B61</f>
        <v>26</v>
      </c>
      <c r="B54" s="85" t="str">
        <f t="shared" si="2"/>
        <v>Salpicado Plástico Incluido Jaharro</v>
      </c>
      <c r="C54" s="90"/>
      <c r="D54" s="91" t="str">
        <f t="shared" si="3"/>
        <v>m2</v>
      </c>
      <c r="E54" s="92">
        <f t="shared" si="0"/>
        <v>6021.06</v>
      </c>
      <c r="F54" s="93">
        <f t="shared" si="4"/>
        <v>0</v>
      </c>
      <c r="G54" s="93">
        <f t="shared" si="1"/>
        <v>0</v>
      </c>
      <c r="H54" s="93">
        <f t="shared" si="5"/>
        <v>0</v>
      </c>
      <c r="I54" s="5">
        <f t="shared" ca="1" si="6"/>
        <v>0</v>
      </c>
    </row>
    <row r="55" spans="1:9" ht="20.100000000000001" customHeight="1" x14ac:dyDescent="0.2">
      <c r="A55" s="226">
        <f>Datos!B62</f>
        <v>27</v>
      </c>
      <c r="B55" s="85" t="str">
        <f t="shared" ref="B55:B70" si="7">IFERROR(VLOOKUP(A55,Tabla_Datos,2,FALSE),0)</f>
        <v>Cielorraso aplicado a la cal</v>
      </c>
      <c r="C55" s="90"/>
      <c r="D55" s="91" t="str">
        <f t="shared" ref="D55:D71" si="8">IFERROR(VLOOKUP(A55,Tabla_Datos,3,FALSE),0)</f>
        <v>m2</v>
      </c>
      <c r="E55" s="92">
        <f t="shared" si="0"/>
        <v>1496.34</v>
      </c>
      <c r="F55" s="93">
        <f t="shared" ref="F55:F71" si="9">IFERROR(VLOOKUP(A55,Tabla_AP,7,FALSE),0)</f>
        <v>0</v>
      </c>
      <c r="G55" s="93">
        <f t="shared" si="1"/>
        <v>0</v>
      </c>
      <c r="H55" s="93">
        <f t="shared" si="5"/>
        <v>0</v>
      </c>
      <c r="I55" s="5">
        <f t="shared" ref="I55:I71" ca="1" si="10">IFERROR(H55/Monto_Oferta,0)</f>
        <v>0</v>
      </c>
    </row>
    <row r="56" spans="1:9" ht="20.100000000000001" customHeight="1" x14ac:dyDescent="0.2">
      <c r="A56" s="226">
        <f>Datos!B63</f>
        <v>28</v>
      </c>
      <c r="B56" s="85" t="str">
        <f t="shared" ref="B56" si="11">IFERROR(VLOOKUP(A56,Tabla_Datos,2,FALSE),0)</f>
        <v>Mesadas, campana y ventilaciones (incluida mesada exterior)</v>
      </c>
      <c r="C56" s="90"/>
      <c r="D56" s="91" t="str">
        <f t="shared" ref="D56" si="12">IFERROR(VLOOKUP(A56,Tabla_Datos,3,FALSE),0)</f>
        <v>gl</v>
      </c>
      <c r="E56" s="92">
        <f t="shared" si="0"/>
        <v>49</v>
      </c>
      <c r="F56" s="93">
        <f>IFERROR(VLOOKUP(A56,Tabla_AP,7,FALSE),0)</f>
        <v>0</v>
      </c>
      <c r="G56" s="93">
        <f t="shared" si="1"/>
        <v>0</v>
      </c>
      <c r="H56" s="93">
        <f t="shared" si="5"/>
        <v>0</v>
      </c>
      <c r="I56" s="5">
        <f t="shared" ref="I56" ca="1" si="13">IFERROR(H56/Monto_Oferta,0)</f>
        <v>0</v>
      </c>
    </row>
    <row r="57" spans="1:9" ht="20.100000000000001" customHeight="1" x14ac:dyDescent="0.2">
      <c r="A57" s="226" t="str">
        <f>Datos!B64</f>
        <v>28.1</v>
      </c>
      <c r="B57" s="85" t="str">
        <f t="shared" si="7"/>
        <v>Mesadas, campana y ventilaciones p/ disc.(incluida mesada exterior)</v>
      </c>
      <c r="C57" s="90"/>
      <c r="D57" s="91" t="str">
        <f t="shared" si="8"/>
        <v>gl</v>
      </c>
      <c r="E57" s="92">
        <f t="shared" si="0"/>
        <v>2</v>
      </c>
      <c r="F57" s="93">
        <f t="shared" si="9"/>
        <v>0</v>
      </c>
      <c r="G57" s="93">
        <f t="shared" si="1"/>
        <v>0</v>
      </c>
      <c r="H57" s="93">
        <f t="shared" si="5"/>
        <v>0</v>
      </c>
      <c r="I57" s="5">
        <f t="shared" ca="1" si="10"/>
        <v>0</v>
      </c>
    </row>
    <row r="58" spans="1:9" ht="20.100000000000001" customHeight="1" x14ac:dyDescent="0.2">
      <c r="A58" s="226">
        <f>Datos!B65</f>
        <v>29</v>
      </c>
      <c r="B58" s="85" t="str">
        <f t="shared" si="7"/>
        <v>Antepechos de H° Armado con goterón bajo nariz de 2cm</v>
      </c>
      <c r="C58" s="90"/>
      <c r="D58" s="91" t="str">
        <f t="shared" si="8"/>
        <v>ml</v>
      </c>
      <c r="E58" s="92">
        <f t="shared" si="0"/>
        <v>229.5</v>
      </c>
      <c r="F58" s="93">
        <f t="shared" si="9"/>
        <v>0</v>
      </c>
      <c r="G58" s="93">
        <f t="shared" si="1"/>
        <v>0</v>
      </c>
      <c r="H58" s="93">
        <f t="shared" si="5"/>
        <v>0</v>
      </c>
      <c r="I58" s="5">
        <f t="shared" ca="1" si="10"/>
        <v>0</v>
      </c>
    </row>
    <row r="59" spans="1:9" ht="20.100000000000001" customHeight="1" x14ac:dyDescent="0.2">
      <c r="A59" s="226">
        <f>Datos!B66</f>
        <v>30</v>
      </c>
      <c r="B59" s="85" t="str">
        <f t="shared" ref="B59" si="14">IFERROR(VLOOKUP(A59,Tabla_Datos,2,FALSE),0)</f>
        <v>Esmalte sintético sobre carpintería metálica</v>
      </c>
      <c r="C59" s="90"/>
      <c r="D59" s="91" t="str">
        <f t="shared" ref="D59" si="15">IFERROR(VLOOKUP(A59,Tabla_Datos,3,FALSE),0)</f>
        <v>m2</v>
      </c>
      <c r="E59" s="92">
        <f t="shared" ref="E59" si="16">ROUND(IFERROR(VLOOKUP(A59,Tabla_P1,4,FALSE)*Cant_Viv_P1,0)+IFERROR(VLOOKUP(A59,Tabla_P2,4,FALSE)*Cant_Viv_P2,0)+IFERROR(VLOOKUP(A59,Tabla_P3,4,FALSE)*Cant_Viv_P3,0)+IFERROR(VLOOKUP(A59,Tabla_P4,4,FALSE)*Cant_Viv_P4,0)+IFERROR(VLOOKUP(A59,Tabla_P5,4,FALSE)*Cant_Viv_P5,0)+IFERROR(VLOOKUP(A59,Tabla_P6,4,FALSE)*Cant_Viv_P6,0)+IFERROR(VLOOKUP(A59,Tabla_P7,4,FALSE)*Cant_Viv_P7,0)++IFERROR(VLOOKUP(A59,Tabla_EC,4,FALSE)*EspacioComun,0),2)</f>
        <v>824.67</v>
      </c>
      <c r="F59" s="93">
        <f t="shared" ref="F59" si="17">IFERROR(VLOOKUP(A59,Tabla_AP,7,FALSE),0)</f>
        <v>0</v>
      </c>
      <c r="G59" s="93">
        <f t="shared" ref="G59" si="18">ROUND(PrecioUnitario(F59,Costo_Financiero,Gastos_Generales,Beneficio,Ingresos_Brutos,IVA_Vivienda),5)</f>
        <v>0</v>
      </c>
      <c r="H59" s="93">
        <f t="shared" ref="H59" si="19">ROUND(E59*G59,5)</f>
        <v>0</v>
      </c>
      <c r="I59" s="5">
        <f t="shared" ref="I59" ca="1" si="20">IFERROR(H59/Monto_Oferta,0)</f>
        <v>0</v>
      </c>
    </row>
    <row r="60" spans="1:9" ht="20.100000000000001" customHeight="1" x14ac:dyDescent="0.2">
      <c r="A60" s="226">
        <f>Datos!B67</f>
        <v>31</v>
      </c>
      <c r="B60" s="85" t="str">
        <f t="shared" si="7"/>
        <v>Esmalte sintético sobre carpintería madera</v>
      </c>
      <c r="C60" s="90"/>
      <c r="D60" s="91" t="str">
        <f t="shared" si="8"/>
        <v>m2</v>
      </c>
      <c r="E60" s="92">
        <f t="shared" si="0"/>
        <v>681.36</v>
      </c>
      <c r="F60" s="93">
        <f t="shared" si="9"/>
        <v>0</v>
      </c>
      <c r="G60" s="93">
        <f t="shared" si="1"/>
        <v>0</v>
      </c>
      <c r="H60" s="93">
        <f t="shared" si="5"/>
        <v>0</v>
      </c>
      <c r="I60" s="5">
        <f t="shared" ca="1" si="10"/>
        <v>0</v>
      </c>
    </row>
    <row r="61" spans="1:9" ht="20.100000000000001" customHeight="1" x14ac:dyDescent="0.2">
      <c r="A61" s="226">
        <f>Datos!B68</f>
        <v>32</v>
      </c>
      <c r="B61" s="85" t="str">
        <f t="shared" si="7"/>
        <v>Látex muro interior/exterior</v>
      </c>
      <c r="C61" s="90"/>
      <c r="D61" s="91" t="str">
        <f t="shared" si="8"/>
        <v>m2</v>
      </c>
      <c r="E61" s="92">
        <f t="shared" si="0"/>
        <v>6556.05</v>
      </c>
      <c r="F61" s="93">
        <f t="shared" si="9"/>
        <v>0</v>
      </c>
      <c r="G61" s="93">
        <f t="shared" si="1"/>
        <v>0</v>
      </c>
      <c r="H61" s="93">
        <f t="shared" si="5"/>
        <v>0</v>
      </c>
      <c r="I61" s="5">
        <f t="shared" ca="1" si="10"/>
        <v>0</v>
      </c>
    </row>
    <row r="62" spans="1:9" ht="20.100000000000001" customHeight="1" x14ac:dyDescent="0.2">
      <c r="A62" s="226">
        <f>Datos!B69</f>
        <v>33</v>
      </c>
      <c r="B62" s="85" t="str">
        <f t="shared" si="7"/>
        <v>Pintura látex interior en cielorrasos</v>
      </c>
      <c r="C62" s="90"/>
      <c r="D62" s="91" t="str">
        <f t="shared" si="8"/>
        <v>m2</v>
      </c>
      <c r="E62" s="92">
        <f t="shared" ref="E62:E73" si="21">ROUND(IFERROR(VLOOKUP(A62,Tabla_P1,4,FALSE)*Cant_Viv_P1,0)+IFERROR(VLOOKUP(A62,Tabla_P2,4,FALSE)*Cant_Viv_P2,0)+IFERROR(VLOOKUP(A62,Tabla_P3,4,FALSE)*Cant_Viv_P3,0)+IFERROR(VLOOKUP(A62,Tabla_P4,4,FALSE)*Cant_Viv_P4,0)+IFERROR(VLOOKUP(A62,Tabla_P5,4,FALSE)*Cant_Viv_P5,0)+IFERROR(VLOOKUP(A62,Tabla_P6,4,FALSE)*Cant_Viv_P6,0)+IFERROR(VLOOKUP(A62,Tabla_P7,4,FALSE)*Cant_Viv_P7,0)++IFERROR(VLOOKUP(A62,Tabla_EC,4,FALSE)*EspacioComun,0),2)</f>
        <v>1496.34</v>
      </c>
      <c r="F62" s="93">
        <f t="shared" si="9"/>
        <v>0</v>
      </c>
      <c r="G62" s="93">
        <f t="shared" ref="G62:G73" si="22">ROUND(PrecioUnitario(F62,Costo_Financiero,Gastos_Generales,Beneficio,Ingresos_Brutos,IVA_Vivienda),5)</f>
        <v>0</v>
      </c>
      <c r="H62" s="93">
        <f t="shared" si="5"/>
        <v>0</v>
      </c>
      <c r="I62" s="5">
        <f t="shared" ca="1" si="10"/>
        <v>0</v>
      </c>
    </row>
    <row r="63" spans="1:9" ht="20.100000000000001" customHeight="1" x14ac:dyDescent="0.2">
      <c r="A63" s="226">
        <f>Datos!B70</f>
        <v>34</v>
      </c>
      <c r="B63" s="85" t="str">
        <f t="shared" si="7"/>
        <v>Provisión y colocación de cristal float 3mm</v>
      </c>
      <c r="C63" s="90"/>
      <c r="D63" s="91" t="str">
        <f t="shared" si="8"/>
        <v>m2</v>
      </c>
      <c r="E63" s="92">
        <f t="shared" si="21"/>
        <v>290.19</v>
      </c>
      <c r="F63" s="93">
        <f t="shared" si="9"/>
        <v>0</v>
      </c>
      <c r="G63" s="93">
        <f t="shared" si="22"/>
        <v>0</v>
      </c>
      <c r="H63" s="93">
        <f t="shared" si="5"/>
        <v>0</v>
      </c>
      <c r="I63" s="5">
        <f t="shared" ca="1" si="10"/>
        <v>0</v>
      </c>
    </row>
    <row r="64" spans="1:9" ht="20.100000000000001" customHeight="1" x14ac:dyDescent="0.2">
      <c r="A64" s="226">
        <f>Datos!B71</f>
        <v>35</v>
      </c>
      <c r="B64" s="85" t="str">
        <f t="shared" si="7"/>
        <v>Provisión y colocación de cristal float 4mm</v>
      </c>
      <c r="C64" s="90"/>
      <c r="D64" s="91" t="str">
        <f t="shared" si="8"/>
        <v>m2</v>
      </c>
      <c r="E64" s="92">
        <f t="shared" si="21"/>
        <v>183.09</v>
      </c>
      <c r="F64" s="93">
        <f t="shared" si="9"/>
        <v>0</v>
      </c>
      <c r="G64" s="93">
        <f t="shared" si="22"/>
        <v>0</v>
      </c>
      <c r="H64" s="93">
        <f t="shared" si="5"/>
        <v>0</v>
      </c>
      <c r="I64" s="5">
        <f t="shared" ca="1" si="10"/>
        <v>0</v>
      </c>
    </row>
    <row r="65" spans="1:11" ht="20.100000000000001" customHeight="1" x14ac:dyDescent="0.2">
      <c r="A65" s="226">
        <f>Datos!B72</f>
        <v>36</v>
      </c>
      <c r="B65" s="85" t="str">
        <f t="shared" si="7"/>
        <v>Pérgolas (Frente y Fondo)  - Incluye Base de Hormigón Simple H 13</v>
      </c>
      <c r="C65" s="90"/>
      <c r="D65" s="91" t="str">
        <f t="shared" si="8"/>
        <v>gl</v>
      </c>
      <c r="E65" s="92">
        <f t="shared" si="21"/>
        <v>51</v>
      </c>
      <c r="F65" s="93">
        <f t="shared" si="9"/>
        <v>0</v>
      </c>
      <c r="G65" s="93">
        <f t="shared" si="22"/>
        <v>0</v>
      </c>
      <c r="H65" s="93">
        <f t="shared" si="5"/>
        <v>0</v>
      </c>
      <c r="I65" s="5">
        <f t="shared" ca="1" si="10"/>
        <v>0</v>
      </c>
    </row>
    <row r="66" spans="1:11" ht="20.100000000000001" customHeight="1" x14ac:dyDescent="0.2">
      <c r="A66" s="226">
        <f>Datos!B73</f>
        <v>37</v>
      </c>
      <c r="B66" s="85" t="str">
        <f t="shared" si="7"/>
        <v xml:space="preserve">Instalación sanitaria (incl. cañería base, distrib. AF-AC, artefactos y grifería) </v>
      </c>
      <c r="C66" s="90"/>
      <c r="D66" s="91" t="str">
        <f t="shared" si="8"/>
        <v>gl</v>
      </c>
      <c r="E66" s="92">
        <f t="shared" si="21"/>
        <v>49</v>
      </c>
      <c r="F66" s="93">
        <f t="shared" si="9"/>
        <v>0</v>
      </c>
      <c r="G66" s="93">
        <f t="shared" si="22"/>
        <v>0</v>
      </c>
      <c r="H66" s="93">
        <f t="shared" si="5"/>
        <v>0</v>
      </c>
      <c r="I66" s="5">
        <f t="shared" ca="1" si="10"/>
        <v>0</v>
      </c>
    </row>
    <row r="67" spans="1:11" ht="20.100000000000001" customHeight="1" x14ac:dyDescent="0.2">
      <c r="A67" s="226" t="str">
        <f>Datos!B74</f>
        <v>37.1</v>
      </c>
      <c r="B67" s="85" t="str">
        <f t="shared" si="7"/>
        <v xml:space="preserve">Instalación sanitaria p/ disc.(incl. cañería base, distrib. AF-AC, artefactos y grifería) </v>
      </c>
      <c r="C67" s="90"/>
      <c r="D67" s="91" t="str">
        <f t="shared" si="8"/>
        <v>gl</v>
      </c>
      <c r="E67" s="92">
        <f t="shared" si="21"/>
        <v>2</v>
      </c>
      <c r="F67" s="93">
        <f t="shared" si="9"/>
        <v>0</v>
      </c>
      <c r="G67" s="93">
        <f t="shared" si="22"/>
        <v>0</v>
      </c>
      <c r="H67" s="93">
        <f t="shared" si="5"/>
        <v>0</v>
      </c>
      <c r="I67" s="5">
        <f t="shared" ca="1" si="10"/>
        <v>0</v>
      </c>
    </row>
    <row r="68" spans="1:11" ht="20.100000000000001" customHeight="1" x14ac:dyDescent="0.2">
      <c r="A68" s="226">
        <f>Datos!B75</f>
        <v>38</v>
      </c>
      <c r="B68" s="85" t="str">
        <f t="shared" si="7"/>
        <v>Calefón Solar - Termosifónico - Captador por tubo de vacío</v>
      </c>
      <c r="C68" s="90"/>
      <c r="D68" s="91" t="str">
        <f t="shared" si="8"/>
        <v>u</v>
      </c>
      <c r="E68" s="92">
        <f t="shared" si="21"/>
        <v>51</v>
      </c>
      <c r="F68" s="93">
        <f t="shared" si="9"/>
        <v>0</v>
      </c>
      <c r="G68" s="93">
        <f t="shared" si="22"/>
        <v>0</v>
      </c>
      <c r="H68" s="93">
        <f t="shared" si="5"/>
        <v>0</v>
      </c>
      <c r="I68" s="5">
        <f t="shared" ca="1" si="10"/>
        <v>0</v>
      </c>
    </row>
    <row r="69" spans="1:11" ht="20.100000000000001" customHeight="1" x14ac:dyDescent="0.2">
      <c r="A69" s="226">
        <f>Datos!B76</f>
        <v>39</v>
      </c>
      <c r="B69" s="85" t="str">
        <f t="shared" si="7"/>
        <v>Instalación de Gas (Incl. Cocina 4 hornallas c/horno)</v>
      </c>
      <c r="C69" s="90"/>
      <c r="D69" s="91" t="str">
        <f t="shared" si="8"/>
        <v>gl</v>
      </c>
      <c r="E69" s="92">
        <f t="shared" si="21"/>
        <v>51</v>
      </c>
      <c r="F69" s="93">
        <f t="shared" si="9"/>
        <v>0</v>
      </c>
      <c r="G69" s="93">
        <f t="shared" si="22"/>
        <v>0</v>
      </c>
      <c r="H69" s="93">
        <f t="shared" si="5"/>
        <v>0</v>
      </c>
      <c r="I69" s="5">
        <f t="shared" ca="1" si="10"/>
        <v>0</v>
      </c>
    </row>
    <row r="70" spans="1:11" ht="20.100000000000001" customHeight="1" x14ac:dyDescent="0.2">
      <c r="A70" s="226">
        <f>Datos!B77</f>
        <v>40</v>
      </c>
      <c r="B70" s="85" t="str">
        <f t="shared" si="7"/>
        <v>Instalación de gas - Gabinete para tubos</v>
      </c>
      <c r="C70" s="90"/>
      <c r="D70" s="91" t="str">
        <f t="shared" si="8"/>
        <v>u</v>
      </c>
      <c r="E70" s="92">
        <f t="shared" si="21"/>
        <v>51</v>
      </c>
      <c r="F70" s="93">
        <f t="shared" si="9"/>
        <v>0</v>
      </c>
      <c r="G70" s="93">
        <f t="shared" si="22"/>
        <v>0</v>
      </c>
      <c r="H70" s="93">
        <f>ROUND(E70*G70,5)</f>
        <v>0</v>
      </c>
      <c r="I70" s="5">
        <f t="shared" ca="1" si="10"/>
        <v>0</v>
      </c>
    </row>
    <row r="71" spans="1:11" ht="20.100000000000001" customHeight="1" x14ac:dyDescent="0.2">
      <c r="A71" s="226">
        <f>Datos!B78</f>
        <v>41</v>
      </c>
      <c r="B71" s="85" t="str">
        <f>IFERROR(VLOOKUP(A71,Tabla_Datos,2,FALSE),0)</f>
        <v>Instalación eléctrica (incl.pilastra,proc.cañerias p/3AA,y preveer espacios en tablero gral. p/llaves termomagnéticas corresp. Portalámparas 3 cuerpos)</v>
      </c>
      <c r="C71" s="90"/>
      <c r="D71" s="91" t="str">
        <f t="shared" si="8"/>
        <v>gl</v>
      </c>
      <c r="E71" s="92">
        <f t="shared" si="21"/>
        <v>51</v>
      </c>
      <c r="F71" s="93">
        <f t="shared" si="9"/>
        <v>0</v>
      </c>
      <c r="G71" s="93">
        <f t="shared" si="22"/>
        <v>0</v>
      </c>
      <c r="H71" s="93">
        <f t="shared" si="5"/>
        <v>0</v>
      </c>
      <c r="I71" s="5">
        <f t="shared" ca="1" si="10"/>
        <v>0</v>
      </c>
    </row>
    <row r="72" spans="1:11" ht="20.100000000000001" customHeight="1" x14ac:dyDescent="0.2">
      <c r="A72" s="226">
        <f>Datos!B79</f>
        <v>42</v>
      </c>
      <c r="B72" s="85" t="str">
        <f t="shared" ref="B72:B73" si="23">IFERROR(VLOOKUP(A72,Tabla_Datos,2,FALSE),0)</f>
        <v>Terminación y limpieza de obra</v>
      </c>
      <c r="C72" s="90"/>
      <c r="D72" s="91" t="str">
        <f t="shared" ref="D72:D73" si="24">IFERROR(VLOOKUP(A72,Tabla_Datos,3,FALSE),0)</f>
        <v>gl</v>
      </c>
      <c r="E72" s="92">
        <f t="shared" si="21"/>
        <v>51</v>
      </c>
      <c r="F72" s="93">
        <f t="shared" ref="F72:F73" si="25">IFERROR(VLOOKUP(A72,Tabla_AP,7,FALSE),0)</f>
        <v>0</v>
      </c>
      <c r="G72" s="93">
        <f t="shared" si="22"/>
        <v>0</v>
      </c>
      <c r="H72" s="93">
        <f>ROUND(E72*G72,5)</f>
        <v>0</v>
      </c>
      <c r="I72" s="5">
        <f ca="1">IFERROR(H72/Monto_Oferta,0)</f>
        <v>0</v>
      </c>
    </row>
    <row r="73" spans="1:11" ht="20.100000000000001" customHeight="1" x14ac:dyDescent="0.2">
      <c r="A73" s="226">
        <f>Datos!B80</f>
        <v>43</v>
      </c>
      <c r="B73" s="85" t="str">
        <f t="shared" si="23"/>
        <v>Flete</v>
      </c>
      <c r="C73" s="90"/>
      <c r="D73" s="91" t="str">
        <f t="shared" si="24"/>
        <v>gl</v>
      </c>
      <c r="E73" s="92">
        <f t="shared" si="21"/>
        <v>51</v>
      </c>
      <c r="F73" s="93">
        <f t="shared" si="25"/>
        <v>0</v>
      </c>
      <c r="G73" s="93">
        <f t="shared" si="22"/>
        <v>0</v>
      </c>
      <c r="H73" s="93">
        <f t="shared" si="5"/>
        <v>0</v>
      </c>
      <c r="I73" s="5">
        <f ca="1">IFERROR(H73/Monto_Oferta,0)</f>
        <v>0</v>
      </c>
    </row>
    <row r="74" spans="1:11" ht="20.100000000000001" customHeight="1" x14ac:dyDescent="0.2">
      <c r="A74" s="226"/>
      <c r="B74" s="85"/>
      <c r="C74" s="90"/>
      <c r="D74" s="91"/>
      <c r="E74" s="92"/>
      <c r="F74" s="93"/>
      <c r="G74" s="93"/>
      <c r="H74" s="93"/>
      <c r="I74" s="5"/>
    </row>
    <row r="75" spans="1:11" ht="20.100000000000001" customHeight="1" x14ac:dyDescent="0.2">
      <c r="A75" s="156"/>
      <c r="B75" s="157" t="str">
        <f>"TOTAL COSTO "</f>
        <v xml:space="preserve">TOTAL COSTO </v>
      </c>
      <c r="C75" s="157"/>
      <c r="D75" s="157"/>
      <c r="E75" s="157"/>
      <c r="F75" s="160">
        <f>+H77</f>
        <v>0</v>
      </c>
      <c r="G75" s="161"/>
      <c r="H75" s="158">
        <f>SUM(H29:H74)</f>
        <v>0</v>
      </c>
      <c r="I75" s="159">
        <f ca="1">SUM(I29:I74)</f>
        <v>0</v>
      </c>
    </row>
    <row r="76" spans="1:11" ht="20.100000000000001" customHeight="1" thickBot="1" x14ac:dyDescent="0.25">
      <c r="G76" s="94"/>
    </row>
    <row r="77" spans="1:11" s="195" customFormat="1" ht="20.100000000000001" customHeight="1" thickTop="1" x14ac:dyDescent="0.2">
      <c r="A77" s="187" t="s">
        <v>1106</v>
      </c>
      <c r="B77" s="188" t="s">
        <v>1166</v>
      </c>
      <c r="C77" s="189"/>
      <c r="D77" s="190"/>
      <c r="E77" s="191"/>
      <c r="F77" s="192"/>
      <c r="G77" s="191"/>
      <c r="H77" s="193">
        <f>ROUND(H75/Coef_Paso_Vivienda,2)</f>
        <v>0</v>
      </c>
      <c r="I77" s="194"/>
      <c r="J77" s="480"/>
      <c r="K77" s="389"/>
    </row>
    <row r="78" spans="1:11" s="195" customFormat="1" ht="20.100000000000001" customHeight="1" x14ac:dyDescent="0.2">
      <c r="A78" s="196" t="s">
        <v>1107</v>
      </c>
      <c r="B78" s="197" t="str">
        <f>"COSTO FINANCIERO  "&amp;ROUND(Costo_Financiero*100,2)&amp;" % de ( 1 )"</f>
        <v>COSTO FINANCIERO  0 % de ( 1 )</v>
      </c>
      <c r="C78" s="198"/>
      <c r="D78" s="199"/>
      <c r="E78" s="200">
        <f>Costo_Financiero</f>
        <v>0</v>
      </c>
      <c r="F78" s="86"/>
      <c r="G78" s="201"/>
      <c r="H78" s="202">
        <f>ROUND(H77*Costo_Financiero,2)</f>
        <v>0</v>
      </c>
      <c r="I78" s="194"/>
    </row>
    <row r="79" spans="1:11" s="195" customFormat="1" ht="20.100000000000001" customHeight="1" x14ac:dyDescent="0.2">
      <c r="A79" s="196" t="s">
        <v>1108</v>
      </c>
      <c r="B79" s="197" t="s">
        <v>1162</v>
      </c>
      <c r="C79" s="198"/>
      <c r="D79" s="199"/>
      <c r="E79" s="201"/>
      <c r="F79" s="86"/>
      <c r="G79" s="201"/>
      <c r="H79" s="202">
        <f>H77+H78</f>
        <v>0</v>
      </c>
      <c r="I79" s="194"/>
      <c r="J79" s="480"/>
    </row>
    <row r="80" spans="1:11" s="195" customFormat="1" ht="20.100000000000001" customHeight="1" x14ac:dyDescent="0.2">
      <c r="A80" s="196" t="s">
        <v>1109</v>
      </c>
      <c r="B80" s="203" t="str">
        <f>CONCATENATE("GASTOS GENERALES  ",ROUND(Gastos_Generales*100,3)," % de ( 3 )")</f>
        <v>GASTOS GENERALES  0 % de ( 3 )</v>
      </c>
      <c r="C80" s="203"/>
      <c r="D80" s="204"/>
      <c r="E80" s="200">
        <f>Gastos_Generales</f>
        <v>0</v>
      </c>
      <c r="F80" s="86"/>
      <c r="G80" s="201"/>
      <c r="H80" s="202">
        <f>H79*E80</f>
        <v>0</v>
      </c>
      <c r="I80" s="204"/>
    </row>
    <row r="81" spans="1:14" s="195" customFormat="1" ht="20.100000000000001" customHeight="1" x14ac:dyDescent="0.2">
      <c r="A81" s="196" t="s">
        <v>1110</v>
      </c>
      <c r="B81" s="203" t="str">
        <f>CONCATENATE("BENEFICIOS  ",ROUND(Beneficio*100,2)," % de ( 3 )")</f>
        <v>BENEFICIOS  0 % de ( 3 )</v>
      </c>
      <c r="C81" s="203"/>
      <c r="D81" s="204"/>
      <c r="E81" s="200">
        <f>Beneficio</f>
        <v>0</v>
      </c>
      <c r="F81" s="86"/>
      <c r="G81" s="201"/>
      <c r="H81" s="202">
        <f>H79*E81</f>
        <v>0</v>
      </c>
      <c r="I81" s="204"/>
      <c r="K81" s="389"/>
    </row>
    <row r="82" spans="1:14" s="195" customFormat="1" ht="20.100000000000001" customHeight="1" x14ac:dyDescent="0.2">
      <c r="A82" s="196">
        <v>6</v>
      </c>
      <c r="B82" s="197" t="s">
        <v>1163</v>
      </c>
      <c r="C82" s="198"/>
      <c r="D82" s="204"/>
      <c r="E82" s="201"/>
      <c r="F82" s="86"/>
      <c r="G82" s="201"/>
      <c r="H82" s="202">
        <f>H79+H80+H81</f>
        <v>0</v>
      </c>
      <c r="I82" s="204"/>
      <c r="K82" s="323"/>
    </row>
    <row r="83" spans="1:14" s="195" customFormat="1" ht="20.100000000000001" customHeight="1" x14ac:dyDescent="0.2">
      <c r="A83" s="196" t="s">
        <v>1164</v>
      </c>
      <c r="B83" s="203" t="str">
        <f>CONCATENATE("INGRESOS BRUTOS Y LOTE HOGAR  ",ROUND(Ingresos_Brutos*100,2)," % de ( 6 )")</f>
        <v>INGRESOS BRUTOS Y LOTE HOGAR  2,4 % de ( 6 )</v>
      </c>
      <c r="C83" s="203"/>
      <c r="D83" s="204"/>
      <c r="E83" s="200">
        <f>Ingresos_Brutos</f>
        <v>2.4E-2</v>
      </c>
      <c r="F83" s="86"/>
      <c r="G83" s="201"/>
      <c r="H83" s="202">
        <f>IF(Ingresos_Brutos=0,,ROUND(Ingresos_Brutos*H82,2))</f>
        <v>0</v>
      </c>
      <c r="I83" s="204"/>
    </row>
    <row r="84" spans="1:14" s="195" customFormat="1" ht="20.100000000000001" customHeight="1" thickBot="1" x14ac:dyDescent="0.25">
      <c r="A84" s="205" t="s">
        <v>1165</v>
      </c>
      <c r="B84" s="206" t="str">
        <f>CONCATENATE("IMPUESTO AL VALOR AGREGADO ",IVA_Vivienda*100," % de ( 6 )")</f>
        <v>IMPUESTO AL VALOR AGREGADO 10,5 % de ( 6 )</v>
      </c>
      <c r="C84" s="206"/>
      <c r="D84" s="207"/>
      <c r="E84" s="208">
        <f>IVA_Vivienda</f>
        <v>0.105</v>
      </c>
      <c r="F84" s="209"/>
      <c r="G84" s="210"/>
      <c r="H84" s="211">
        <f>IF(IVA_Vivienda=0,,ROUND(IVA_Vivienda*H82,2))</f>
        <v>0</v>
      </c>
      <c r="I84" s="401"/>
    </row>
    <row r="85" spans="1:14" ht="20.100000000000001" customHeight="1" thickTop="1" x14ac:dyDescent="0.2">
      <c r="A85" s="100"/>
      <c r="B85" s="95"/>
      <c r="C85" s="95"/>
      <c r="D85" s="96"/>
      <c r="E85" s="97"/>
      <c r="F85" s="98"/>
      <c r="G85" s="101"/>
      <c r="I85" s="96"/>
      <c r="J85" s="475"/>
    </row>
    <row r="86" spans="1:14" ht="20.100000000000001" customHeight="1" x14ac:dyDescent="0.2">
      <c r="B86" s="116" t="str">
        <f>"PRECIO TOTAL VIVENDAS"</f>
        <v>PRECIO TOTAL VIVENDAS</v>
      </c>
      <c r="C86" s="116"/>
      <c r="D86" s="96"/>
      <c r="E86" s="3"/>
      <c r="F86" s="98"/>
      <c r="G86" s="101"/>
      <c r="H86" s="101">
        <f>H75</f>
        <v>0</v>
      </c>
      <c r="I86" s="406"/>
    </row>
    <row r="87" spans="1:14" ht="20.100000000000001" customHeight="1" x14ac:dyDescent="0.2">
      <c r="B87" s="116"/>
      <c r="C87" s="116"/>
      <c r="D87" s="96"/>
      <c r="E87" s="3"/>
      <c r="F87" s="98"/>
      <c r="G87" s="101"/>
      <c r="H87" s="101"/>
      <c r="I87" s="406"/>
    </row>
    <row r="88" spans="1:14" ht="20.100000000000001" customHeight="1" x14ac:dyDescent="0.2">
      <c r="A88" s="117"/>
      <c r="B88" s="118"/>
      <c r="C88" s="118"/>
      <c r="D88" s="117"/>
      <c r="E88" s="117"/>
      <c r="F88" s="118"/>
      <c r="G88" s="118"/>
      <c r="H88" s="114"/>
      <c r="I88" s="117"/>
      <c r="J88" s="3"/>
    </row>
    <row r="89" spans="1:14" ht="20.100000000000001" customHeight="1" x14ac:dyDescent="0.2">
      <c r="A89" s="119" t="s">
        <v>1317</v>
      </c>
      <c r="B89" s="115"/>
      <c r="C89" s="99"/>
      <c r="D89" s="114"/>
      <c r="E89" s="114"/>
      <c r="F89" s="257"/>
      <c r="G89" s="257"/>
      <c r="H89" s="257"/>
      <c r="I89" s="610"/>
    </row>
    <row r="90" spans="1:14" ht="39" customHeight="1" x14ac:dyDescent="0.2">
      <c r="A90" s="154" t="s">
        <v>1105</v>
      </c>
      <c r="B90" s="619" t="s">
        <v>0</v>
      </c>
      <c r="C90" s="620"/>
      <c r="D90" s="154" t="s">
        <v>1</v>
      </c>
      <c r="E90" s="154" t="s">
        <v>2</v>
      </c>
      <c r="F90" s="594" t="s">
        <v>1150</v>
      </c>
      <c r="G90" s="232" t="s">
        <v>1151</v>
      </c>
      <c r="H90" s="232" t="s">
        <v>1118</v>
      </c>
      <c r="I90" s="232" t="s">
        <v>10</v>
      </c>
    </row>
    <row r="91" spans="1:14" ht="20.100000000000001" customHeight="1" x14ac:dyDescent="0.2">
      <c r="A91" s="226" t="str">
        <f>Datos!B81</f>
        <v>B</v>
      </c>
      <c r="B91" s="85" t="str">
        <f>IFERROR(VLOOKUP(A91,Tabla_Datos,2,FALSE),0)</f>
        <v>INFRAESTRUCTURA</v>
      </c>
      <c r="C91" s="90"/>
      <c r="D91" s="91">
        <f>IFERROR(VLOOKUP(A91,Tabla_Datos,3,FALSE),0)</f>
        <v>0</v>
      </c>
      <c r="E91" s="92">
        <f ca="1">IFERROR(VLOOKUP(A91,INDIRECT("Tabla_"&amp;LEFT($A$89,16)),4,FALSE),0)</f>
        <v>0</v>
      </c>
      <c r="F91" s="93">
        <f>IFERROR(VLOOKUP(A91,Tabla_AP,7,FALSE),0)</f>
        <v>0</v>
      </c>
      <c r="G91" s="93">
        <f>ROUND(PrecioUnitario(F91,Costo_Financiero,Gastos_Generales,Beneficio,Ingresos_Brutos,IVA_Infraestructura),2)</f>
        <v>0</v>
      </c>
      <c r="H91" s="93">
        <f ca="1">ROUND(E91*G91,2)</f>
        <v>0</v>
      </c>
      <c r="I91" s="5">
        <f t="shared" ref="I91:I119" ca="1" si="26">IFERROR(H91/Monto_Oferta,0)</f>
        <v>0</v>
      </c>
      <c r="K91" s="411"/>
      <c r="L91" s="411"/>
      <c r="M91" s="397"/>
      <c r="N91" s="397"/>
    </row>
    <row r="92" spans="1:14" ht="20.100000000000001" customHeight="1" x14ac:dyDescent="0.2">
      <c r="A92" s="183">
        <v>44</v>
      </c>
      <c r="B92" s="85" t="str">
        <f>IFERROR(VLOOKUP(A92,Tabla_Datos,2,FALSE),0)</f>
        <v xml:space="preserve">Limpieza de Terreno, destronques y erradicación de árboles </v>
      </c>
      <c r="C92" s="90"/>
      <c r="D92" s="91" t="str">
        <f>IFERROR(VLOOKUP(A92,Tabla_Datos,3,FALSE),0)</f>
        <v>ha</v>
      </c>
      <c r="E92" s="92">
        <f ca="1">ROUND(IFERROR(VLOOKUP(A92,INDIRECT("Tabla_"&amp;LEFT($A$89,16)),4,FALSE),0),2)</f>
        <v>3.3</v>
      </c>
      <c r="F92" s="93">
        <f>IFERROR(VLOOKUP(A92,Tabla_AP,7,FALSE),0)</f>
        <v>0</v>
      </c>
      <c r="G92" s="93">
        <f>ROUND(PrecioUnitario(F92,Costo_Financiero,Gastos_Generales,Beneficio,Ingresos_Brutos,IVA_Infraestructura),5)</f>
        <v>0</v>
      </c>
      <c r="H92" s="93">
        <f ca="1">ROUND(E92*G92,5)</f>
        <v>0</v>
      </c>
      <c r="I92" s="5">
        <f t="shared" ca="1" si="26"/>
        <v>0</v>
      </c>
      <c r="K92" s="411"/>
      <c r="L92" s="411"/>
      <c r="M92" s="397"/>
      <c r="N92" s="397"/>
    </row>
    <row r="93" spans="1:14" ht="20.100000000000001" customHeight="1" x14ac:dyDescent="0.2">
      <c r="A93" s="183">
        <v>45</v>
      </c>
      <c r="B93" s="85" t="str">
        <f t="shared" ref="B93:B119" si="27">IFERROR(VLOOKUP(A93,Tabla_Datos,2,FALSE),0)</f>
        <v>Excavación no Clasificada</v>
      </c>
      <c r="C93" s="90"/>
      <c r="D93" s="91" t="str">
        <f t="shared" ref="D93:D119" si="28">IFERROR(VLOOKUP(A93,Tabla_Datos,3,FALSE),0)</f>
        <v>m3</v>
      </c>
      <c r="E93" s="92">
        <f t="shared" ref="E93:E119" ca="1" si="29">ROUND(IFERROR(VLOOKUP(A93,INDIRECT("Tabla_"&amp;LEFT($A$89,16)),4,FALSE),0),2)</f>
        <v>1962</v>
      </c>
      <c r="F93" s="93">
        <f t="shared" ref="F93:F119" si="30">IFERROR(VLOOKUP(A93,Tabla_AP,7,FALSE),0)</f>
        <v>0</v>
      </c>
      <c r="G93" s="93">
        <f t="shared" ref="G93:G119" si="31">ROUND(PrecioUnitario(F93,Costo_Financiero,Gastos_Generales,Beneficio,Ingresos_Brutos,IVA_Infraestructura),5)</f>
        <v>0</v>
      </c>
      <c r="H93" s="93">
        <f ca="1">ROUND(E93*G93,5)</f>
        <v>0</v>
      </c>
      <c r="I93" s="5">
        <f t="shared" ca="1" si="26"/>
        <v>0</v>
      </c>
      <c r="K93" s="411"/>
      <c r="L93" s="411"/>
      <c r="M93" s="397"/>
      <c r="N93" s="397"/>
    </row>
    <row r="94" spans="1:14" ht="20.100000000000001" customHeight="1" x14ac:dyDescent="0.2">
      <c r="A94" s="183">
        <v>46</v>
      </c>
      <c r="B94" s="85" t="str">
        <f t="shared" si="27"/>
        <v>Ejecución de base (0,25)</v>
      </c>
      <c r="C94" s="90"/>
      <c r="D94" s="91" t="str">
        <f t="shared" si="28"/>
        <v>m3</v>
      </c>
      <c r="E94" s="92">
        <f t="shared" ca="1" si="29"/>
        <v>1815.9</v>
      </c>
      <c r="F94" s="93">
        <f t="shared" si="30"/>
        <v>0</v>
      </c>
      <c r="G94" s="93">
        <f t="shared" si="31"/>
        <v>0</v>
      </c>
      <c r="H94" s="93">
        <f t="shared" ref="H94:H119" ca="1" si="32">ROUND(E94*G94,5)</f>
        <v>0</v>
      </c>
      <c r="I94" s="5">
        <f t="shared" ca="1" si="26"/>
        <v>0</v>
      </c>
      <c r="K94" s="411"/>
      <c r="L94" s="411"/>
      <c r="M94" s="397"/>
      <c r="N94" s="397"/>
    </row>
    <row r="95" spans="1:14" ht="20.100000000000001" customHeight="1" x14ac:dyDescent="0.2">
      <c r="A95" s="183">
        <v>47</v>
      </c>
      <c r="B95" s="85" t="str">
        <f>IFERROR(VLOOKUP(A95,Tabla_Datos,2,FALSE),0)</f>
        <v>Ejecución de cunetas en tierra</v>
      </c>
      <c r="C95" s="90"/>
      <c r="D95" s="91" t="str">
        <f>IFERROR(VLOOKUP(A95,Tabla_Datos,3,FALSE),0)</f>
        <v>ml</v>
      </c>
      <c r="E95" s="92">
        <f ca="1">ROUND(IFERROR(VLOOKUP(A95,INDIRECT("Tabla_"&amp;LEFT($A$89,16)),4,FALSE),0),2)</f>
        <v>1341</v>
      </c>
      <c r="F95" s="93">
        <f>IFERROR(VLOOKUP(A95,Tabla_AP,7,FALSE),0)</f>
        <v>0</v>
      </c>
      <c r="G95" s="93">
        <f t="shared" si="31"/>
        <v>0</v>
      </c>
      <c r="H95" s="93">
        <f t="shared" ca="1" si="32"/>
        <v>0</v>
      </c>
      <c r="I95" s="5">
        <f t="shared" ca="1" si="26"/>
        <v>0</v>
      </c>
      <c r="K95" s="411"/>
      <c r="L95" s="411"/>
      <c r="M95" s="397"/>
      <c r="N95" s="397"/>
    </row>
    <row r="96" spans="1:14" ht="20.100000000000001" customHeight="1" x14ac:dyDescent="0.2">
      <c r="A96" s="183">
        <v>48</v>
      </c>
      <c r="B96" s="85" t="str">
        <f t="shared" si="27"/>
        <v>Arbolado Público</v>
      </c>
      <c r="C96" s="90"/>
      <c r="D96" s="91" t="str">
        <f t="shared" si="28"/>
        <v>u</v>
      </c>
      <c r="E96" s="92">
        <f t="shared" ca="1" si="29"/>
        <v>184</v>
      </c>
      <c r="F96" s="93">
        <f t="shared" si="30"/>
        <v>0</v>
      </c>
      <c r="G96" s="93">
        <f t="shared" si="31"/>
        <v>0</v>
      </c>
      <c r="H96" s="93">
        <f t="shared" ca="1" si="32"/>
        <v>0</v>
      </c>
      <c r="I96" s="5">
        <f t="shared" ca="1" si="26"/>
        <v>0</v>
      </c>
      <c r="K96" s="411"/>
      <c r="L96" s="411"/>
      <c r="M96" s="397"/>
      <c r="N96" s="397"/>
    </row>
    <row r="97" spans="1:14" ht="20.100000000000001" customHeight="1" x14ac:dyDescent="0.2">
      <c r="A97" s="183">
        <v>49</v>
      </c>
      <c r="B97" s="85" t="str">
        <f t="shared" si="27"/>
        <v>Ejecuciòn de Veredas Municipales</v>
      </c>
      <c r="C97" s="90"/>
      <c r="D97" s="91" t="str">
        <f t="shared" si="28"/>
        <v>m2</v>
      </c>
      <c r="E97" s="92">
        <f t="shared" ca="1" si="29"/>
        <v>2568</v>
      </c>
      <c r="F97" s="93">
        <f t="shared" si="30"/>
        <v>0</v>
      </c>
      <c r="G97" s="93">
        <f t="shared" si="31"/>
        <v>0</v>
      </c>
      <c r="H97" s="93">
        <f t="shared" ca="1" si="32"/>
        <v>0</v>
      </c>
      <c r="I97" s="5">
        <f t="shared" ca="1" si="26"/>
        <v>0</v>
      </c>
      <c r="K97" s="411"/>
      <c r="L97" s="411"/>
      <c r="M97" s="397"/>
      <c r="N97" s="397"/>
    </row>
    <row r="98" spans="1:14" ht="20.100000000000001" customHeight="1" x14ac:dyDescent="0.2">
      <c r="A98" s="183">
        <v>50</v>
      </c>
      <c r="B98" s="85" t="str">
        <f t="shared" si="27"/>
        <v>Puentes Peatonales</v>
      </c>
      <c r="C98" s="90"/>
      <c r="D98" s="91" t="str">
        <f t="shared" si="28"/>
        <v>u</v>
      </c>
      <c r="E98" s="92">
        <f t="shared" ca="1" si="29"/>
        <v>32</v>
      </c>
      <c r="F98" s="93">
        <f t="shared" si="30"/>
        <v>0</v>
      </c>
      <c r="G98" s="93">
        <f t="shared" si="31"/>
        <v>0</v>
      </c>
      <c r="H98" s="93">
        <f t="shared" ca="1" si="32"/>
        <v>0</v>
      </c>
      <c r="I98" s="5">
        <f t="shared" ca="1" si="26"/>
        <v>0</v>
      </c>
      <c r="K98" s="411"/>
      <c r="L98" s="411"/>
      <c r="M98" s="397"/>
      <c r="N98" s="397"/>
    </row>
    <row r="99" spans="1:14" ht="20.100000000000001" customHeight="1" x14ac:dyDescent="0.2">
      <c r="A99" s="183">
        <v>51</v>
      </c>
      <c r="B99" s="85" t="str">
        <f t="shared" si="27"/>
        <v>Puentes de acceso Vehicular</v>
      </c>
      <c r="C99" s="90"/>
      <c r="D99" s="91" t="str">
        <f t="shared" si="28"/>
        <v>u</v>
      </c>
      <c r="E99" s="92">
        <f t="shared" ca="1" si="29"/>
        <v>51</v>
      </c>
      <c r="F99" s="93">
        <f t="shared" si="30"/>
        <v>0</v>
      </c>
      <c r="G99" s="93">
        <f t="shared" si="31"/>
        <v>0</v>
      </c>
      <c r="H99" s="93">
        <f t="shared" ca="1" si="32"/>
        <v>0</v>
      </c>
      <c r="I99" s="5">
        <f t="shared" ca="1" si="26"/>
        <v>0</v>
      </c>
      <c r="K99" s="411"/>
      <c r="L99" s="411"/>
      <c r="M99" s="397"/>
      <c r="N99" s="397"/>
    </row>
    <row r="100" spans="1:14" ht="20.100000000000001" customHeight="1" x14ac:dyDescent="0.2">
      <c r="A100" s="183">
        <v>52</v>
      </c>
      <c r="B100" s="85" t="str">
        <f t="shared" si="27"/>
        <v>Indicadores de Calles</v>
      </c>
      <c r="C100" s="90"/>
      <c r="D100" s="91" t="str">
        <f t="shared" si="28"/>
        <v>u</v>
      </c>
      <c r="E100" s="92">
        <f t="shared" ca="1" si="29"/>
        <v>6</v>
      </c>
      <c r="F100" s="93">
        <f t="shared" si="30"/>
        <v>0</v>
      </c>
      <c r="G100" s="93">
        <f t="shared" si="31"/>
        <v>0</v>
      </c>
      <c r="H100" s="93">
        <f t="shared" ca="1" si="32"/>
        <v>0</v>
      </c>
      <c r="I100" s="5">
        <f t="shared" ca="1" si="26"/>
        <v>0</v>
      </c>
      <c r="K100" s="411"/>
      <c r="L100" s="411"/>
      <c r="M100" s="397"/>
      <c r="N100" s="397"/>
    </row>
    <row r="101" spans="1:14" ht="20.100000000000001" customHeight="1" x14ac:dyDescent="0.2">
      <c r="A101" s="183">
        <v>53</v>
      </c>
      <c r="B101" s="85" t="str">
        <f t="shared" si="27"/>
        <v>Vértices de Lotes</v>
      </c>
      <c r="C101" s="90"/>
      <c r="D101" s="91" t="str">
        <f t="shared" si="28"/>
        <v>u</v>
      </c>
      <c r="E101" s="92">
        <f t="shared" ca="1" si="29"/>
        <v>120</v>
      </c>
      <c r="F101" s="93">
        <f t="shared" si="30"/>
        <v>0</v>
      </c>
      <c r="G101" s="93">
        <f t="shared" si="31"/>
        <v>0</v>
      </c>
      <c r="H101" s="93">
        <f t="shared" ca="1" si="32"/>
        <v>0</v>
      </c>
      <c r="I101" s="5">
        <f t="shared" ca="1" si="26"/>
        <v>0</v>
      </c>
      <c r="K101" s="411"/>
      <c r="L101" s="411"/>
      <c r="M101" s="397"/>
      <c r="N101" s="397"/>
    </row>
    <row r="102" spans="1:14" ht="20.100000000000001" customHeight="1" x14ac:dyDescent="0.2">
      <c r="A102" s="183">
        <v>54</v>
      </c>
      <c r="B102" s="85" t="str">
        <f t="shared" si="27"/>
        <v>Espacio Verde 2</v>
      </c>
      <c r="C102" s="90"/>
      <c r="D102" s="91" t="str">
        <f t="shared" si="28"/>
        <v>gl</v>
      </c>
      <c r="E102" s="92">
        <f t="shared" ca="1" si="29"/>
        <v>1</v>
      </c>
      <c r="F102" s="93">
        <f t="shared" si="30"/>
        <v>0</v>
      </c>
      <c r="G102" s="93">
        <f t="shared" si="31"/>
        <v>0</v>
      </c>
      <c r="H102" s="93">
        <f ca="1">ROUND(E102*G102,5)</f>
        <v>0</v>
      </c>
      <c r="I102" s="5">
        <f t="shared" ca="1" si="26"/>
        <v>0</v>
      </c>
      <c r="K102" s="411"/>
      <c r="L102" s="411"/>
      <c r="M102" s="397"/>
      <c r="N102" s="397"/>
    </row>
    <row r="103" spans="1:14" ht="20.100000000000001" customHeight="1" x14ac:dyDescent="0.2">
      <c r="A103" s="183">
        <v>55</v>
      </c>
      <c r="B103" s="85" t="str">
        <f t="shared" si="27"/>
        <v>Alumbrado Público</v>
      </c>
      <c r="C103" s="90"/>
      <c r="D103" s="91" t="str">
        <f t="shared" si="28"/>
        <v>gl</v>
      </c>
      <c r="E103" s="92">
        <f t="shared" ca="1" si="29"/>
        <v>1</v>
      </c>
      <c r="F103" s="93">
        <f t="shared" si="30"/>
        <v>0</v>
      </c>
      <c r="G103" s="93">
        <f t="shared" si="31"/>
        <v>0</v>
      </c>
      <c r="H103" s="93">
        <f t="shared" ca="1" si="32"/>
        <v>0</v>
      </c>
      <c r="I103" s="5">
        <f t="shared" ca="1" si="26"/>
        <v>0</v>
      </c>
      <c r="K103" s="411"/>
      <c r="L103" s="411"/>
      <c r="M103" s="397"/>
      <c r="N103" s="397"/>
    </row>
    <row r="104" spans="1:14" ht="20.100000000000001" customHeight="1" x14ac:dyDescent="0.2">
      <c r="A104" s="183">
        <v>56</v>
      </c>
      <c r="B104" s="85" t="str">
        <f t="shared" si="27"/>
        <v>Alumbrado Espacio Verde 2</v>
      </c>
      <c r="C104" s="90"/>
      <c r="D104" s="91" t="str">
        <f t="shared" si="28"/>
        <v>gl</v>
      </c>
      <c r="E104" s="92">
        <f t="shared" ca="1" si="29"/>
        <v>1</v>
      </c>
      <c r="F104" s="93">
        <f t="shared" si="30"/>
        <v>0</v>
      </c>
      <c r="G104" s="93">
        <f t="shared" si="31"/>
        <v>0</v>
      </c>
      <c r="H104" s="93">
        <f t="shared" ca="1" si="32"/>
        <v>0</v>
      </c>
      <c r="I104" s="5">
        <f t="shared" ca="1" si="26"/>
        <v>0</v>
      </c>
      <c r="K104" s="411"/>
      <c r="L104" s="411"/>
      <c r="M104" s="397"/>
      <c r="N104" s="397"/>
    </row>
    <row r="105" spans="1:14" ht="20.100000000000001" customHeight="1" x14ac:dyDescent="0.2">
      <c r="A105" s="183">
        <v>57</v>
      </c>
      <c r="B105" s="85" t="str">
        <f t="shared" si="27"/>
        <v>Red de cloacas - Provisión, acarreo y colocación de caño de PVC RCP ø160 mm, incl. piezas esp. juntas, etc.</v>
      </c>
      <c r="C105" s="90"/>
      <c r="D105" s="91" t="str">
        <f t="shared" si="28"/>
        <v>m</v>
      </c>
      <c r="E105" s="92">
        <f t="shared" ca="1" si="29"/>
        <v>556</v>
      </c>
      <c r="F105" s="93">
        <f t="shared" si="30"/>
        <v>0</v>
      </c>
      <c r="G105" s="93">
        <f t="shared" si="31"/>
        <v>0</v>
      </c>
      <c r="H105" s="93">
        <f t="shared" ca="1" si="32"/>
        <v>0</v>
      </c>
      <c r="I105" s="5">
        <f t="shared" ca="1" si="26"/>
        <v>0</v>
      </c>
      <c r="K105" s="411"/>
      <c r="L105" s="411"/>
      <c r="M105" s="397"/>
      <c r="N105" s="397"/>
    </row>
    <row r="106" spans="1:14" ht="20.100000000000001" customHeight="1" x14ac:dyDescent="0.2">
      <c r="A106" s="183">
        <v>58</v>
      </c>
      <c r="B106" s="85" t="str">
        <f t="shared" si="27"/>
        <v xml:space="preserve">Red de cloacas - Provisión, acarreo y coloc. materiales  p/la ejecución de Bocas de Registros s/calle, incl. tapa de HF, etc. </v>
      </c>
      <c r="C106" s="90"/>
      <c r="D106" s="91" t="str">
        <f t="shared" si="28"/>
        <v>u</v>
      </c>
      <c r="E106" s="92">
        <f t="shared" ca="1" si="29"/>
        <v>3</v>
      </c>
      <c r="F106" s="93">
        <f t="shared" si="30"/>
        <v>0</v>
      </c>
      <c r="G106" s="93">
        <f t="shared" si="31"/>
        <v>0</v>
      </c>
      <c r="H106" s="93">
        <f t="shared" ca="1" si="32"/>
        <v>0</v>
      </c>
      <c r="I106" s="5">
        <f t="shared" ca="1" si="26"/>
        <v>0</v>
      </c>
      <c r="K106" s="411"/>
      <c r="L106" s="411"/>
      <c r="M106" s="397"/>
      <c r="N106" s="397"/>
    </row>
    <row r="107" spans="1:14" ht="20.100000000000001" customHeight="1" x14ac:dyDescent="0.2">
      <c r="A107" s="183">
        <v>59</v>
      </c>
      <c r="B107" s="85" t="str">
        <f t="shared" si="27"/>
        <v>Red de cloacas - Excavación de zanjas para inst. cañeías, sin depresión de napa</v>
      </c>
      <c r="C107" s="90"/>
      <c r="D107" s="91" t="str">
        <f t="shared" si="28"/>
        <v>m3</v>
      </c>
      <c r="E107" s="92">
        <f t="shared" ca="1" si="29"/>
        <v>797.5</v>
      </c>
      <c r="F107" s="93">
        <f t="shared" si="30"/>
        <v>0</v>
      </c>
      <c r="G107" s="93">
        <f t="shared" si="31"/>
        <v>0</v>
      </c>
      <c r="H107" s="93">
        <f t="shared" ca="1" si="32"/>
        <v>0</v>
      </c>
      <c r="I107" s="5">
        <f t="shared" ca="1" si="26"/>
        <v>0</v>
      </c>
      <c r="K107" s="411"/>
      <c r="L107" s="411"/>
      <c r="M107" s="397"/>
      <c r="N107" s="397"/>
    </row>
    <row r="108" spans="1:14" ht="20.100000000000001" customHeight="1" x14ac:dyDescent="0.2">
      <c r="A108" s="183">
        <v>60</v>
      </c>
      <c r="B108" s="85" t="str">
        <f t="shared" si="27"/>
        <v>Red de cloacas - Paquete estructural</v>
      </c>
      <c r="C108" s="90"/>
      <c r="D108" s="91" t="str">
        <f t="shared" si="28"/>
        <v>m3</v>
      </c>
      <c r="E108" s="92">
        <f t="shared" ca="1" si="29"/>
        <v>222.4</v>
      </c>
      <c r="F108" s="93">
        <f t="shared" si="30"/>
        <v>0</v>
      </c>
      <c r="G108" s="93">
        <f t="shared" si="31"/>
        <v>0</v>
      </c>
      <c r="H108" s="93">
        <f t="shared" ca="1" si="32"/>
        <v>0</v>
      </c>
      <c r="I108" s="5">
        <f t="shared" ca="1" si="26"/>
        <v>0</v>
      </c>
      <c r="K108" s="411"/>
      <c r="L108" s="411"/>
      <c r="M108" s="397"/>
      <c r="N108" s="397"/>
    </row>
    <row r="109" spans="1:14" ht="20.100000000000001" customHeight="1" x14ac:dyDescent="0.2">
      <c r="A109" s="183">
        <v>61</v>
      </c>
      <c r="B109" s="85" t="str">
        <f t="shared" si="27"/>
        <v>Red de cloacas - Relleno superior</v>
      </c>
      <c r="C109" s="90"/>
      <c r="D109" s="91" t="str">
        <f t="shared" si="28"/>
        <v>m3</v>
      </c>
      <c r="E109" s="92">
        <f t="shared" ca="1" si="29"/>
        <v>492.9</v>
      </c>
      <c r="F109" s="93">
        <f t="shared" si="30"/>
        <v>0</v>
      </c>
      <c r="G109" s="93">
        <f t="shared" si="31"/>
        <v>0</v>
      </c>
      <c r="H109" s="93">
        <f t="shared" ca="1" si="32"/>
        <v>0</v>
      </c>
      <c r="I109" s="5">
        <f t="shared" ca="1" si="26"/>
        <v>0</v>
      </c>
      <c r="K109" s="411"/>
      <c r="L109" s="411"/>
      <c r="M109" s="397"/>
      <c r="N109" s="397"/>
    </row>
    <row r="110" spans="1:14" ht="20.100000000000001" customHeight="1" x14ac:dyDescent="0.2">
      <c r="A110" s="183">
        <v>62</v>
      </c>
      <c r="B110" s="85" t="str">
        <f t="shared" si="27"/>
        <v>Red de cloacas - Conexiones domiciliarias cloacas (Provisión, acarreo y coloc. materiales p/la ejecución s/red nueva)</v>
      </c>
      <c r="C110" s="90"/>
      <c r="D110" s="91" t="str">
        <f t="shared" si="28"/>
        <v>u</v>
      </c>
      <c r="E110" s="92">
        <f t="shared" ca="1" si="29"/>
        <v>51</v>
      </c>
      <c r="F110" s="93">
        <f t="shared" si="30"/>
        <v>0</v>
      </c>
      <c r="G110" s="93">
        <f t="shared" si="31"/>
        <v>0</v>
      </c>
      <c r="H110" s="93">
        <f t="shared" ca="1" si="32"/>
        <v>0</v>
      </c>
      <c r="I110" s="5">
        <f t="shared" ca="1" si="26"/>
        <v>0</v>
      </c>
      <c r="K110" s="411"/>
      <c r="L110" s="411"/>
      <c r="M110" s="397"/>
      <c r="N110" s="397"/>
    </row>
    <row r="111" spans="1:14" ht="20.100000000000001" customHeight="1" x14ac:dyDescent="0.2">
      <c r="A111" s="183">
        <v>63</v>
      </c>
      <c r="B111" s="85" t="str">
        <f t="shared" si="27"/>
        <v>Red de agua potable - Provisión, acarreo y colocación de caño recto Ø110mm de PVC k-10, incl. piezas esp. juntas, etc.</v>
      </c>
      <c r="C111" s="90"/>
      <c r="D111" s="91" t="str">
        <f t="shared" si="28"/>
        <v>ml</v>
      </c>
      <c r="E111" s="92">
        <f t="shared" ca="1" si="29"/>
        <v>556</v>
      </c>
      <c r="F111" s="93">
        <f t="shared" si="30"/>
        <v>0</v>
      </c>
      <c r="G111" s="93">
        <f t="shared" si="31"/>
        <v>0</v>
      </c>
      <c r="H111" s="93">
        <f t="shared" ca="1" si="32"/>
        <v>0</v>
      </c>
      <c r="I111" s="5">
        <f t="shared" ca="1" si="26"/>
        <v>0</v>
      </c>
      <c r="K111" s="411"/>
      <c r="L111" s="411"/>
      <c r="M111" s="397"/>
      <c r="N111" s="397"/>
    </row>
    <row r="112" spans="1:14" ht="20.100000000000001" customHeight="1" x14ac:dyDescent="0.2">
      <c r="A112" s="183">
        <v>64</v>
      </c>
      <c r="B112" s="85" t="str">
        <f t="shared" si="27"/>
        <v>Red de agua potable - Provisión, acarreo y colocación de hidrantes a bola, completos, (Incluye caja de HF y Const. de cámara)</v>
      </c>
      <c r="C112" s="90"/>
      <c r="D112" s="91" t="str">
        <f t="shared" si="28"/>
        <v>u</v>
      </c>
      <c r="E112" s="92">
        <f t="shared" ca="1" si="29"/>
        <v>2</v>
      </c>
      <c r="F112" s="93">
        <f t="shared" si="30"/>
        <v>0</v>
      </c>
      <c r="G112" s="93">
        <f t="shared" si="31"/>
        <v>0</v>
      </c>
      <c r="H112" s="93">
        <f t="shared" ca="1" si="32"/>
        <v>0</v>
      </c>
      <c r="I112" s="5">
        <f t="shared" ca="1" si="26"/>
        <v>0</v>
      </c>
      <c r="K112" s="411"/>
      <c r="L112" s="411"/>
      <c r="M112" s="397"/>
      <c r="N112" s="397"/>
    </row>
    <row r="113" spans="1:14" ht="20.100000000000001" customHeight="1" x14ac:dyDescent="0.2">
      <c r="A113" s="183">
        <v>65</v>
      </c>
      <c r="B113" s="85" t="str">
        <f t="shared" si="27"/>
        <v>Red de agua potable - Excavación de zanjas para inst. cañeías, sin depresión de napa</v>
      </c>
      <c r="C113" s="90"/>
      <c r="D113" s="91" t="str">
        <f t="shared" si="28"/>
        <v>m3</v>
      </c>
      <c r="E113" s="92">
        <f t="shared" ca="1" si="29"/>
        <v>708.9</v>
      </c>
      <c r="F113" s="93">
        <f t="shared" si="30"/>
        <v>0</v>
      </c>
      <c r="G113" s="93">
        <f t="shared" si="31"/>
        <v>0</v>
      </c>
      <c r="H113" s="93">
        <f t="shared" ca="1" si="32"/>
        <v>0</v>
      </c>
      <c r="I113" s="5">
        <f t="shared" ca="1" si="26"/>
        <v>0</v>
      </c>
      <c r="K113" s="411"/>
      <c r="L113" s="411"/>
      <c r="M113" s="397"/>
      <c r="N113" s="397"/>
    </row>
    <row r="114" spans="1:14" ht="20.100000000000001" customHeight="1" x14ac:dyDescent="0.2">
      <c r="A114" s="183">
        <v>66</v>
      </c>
      <c r="B114" s="85" t="str">
        <f t="shared" si="27"/>
        <v>Red de agua potable - Paquete estructural</v>
      </c>
      <c r="C114" s="90"/>
      <c r="D114" s="91" t="str">
        <f t="shared" si="28"/>
        <v>m3</v>
      </c>
      <c r="E114" s="92">
        <f t="shared" ca="1" si="29"/>
        <v>236.3</v>
      </c>
      <c r="F114" s="93">
        <f t="shared" si="30"/>
        <v>0</v>
      </c>
      <c r="G114" s="93">
        <f t="shared" si="31"/>
        <v>0</v>
      </c>
      <c r="H114" s="93">
        <f t="shared" ca="1" si="32"/>
        <v>0</v>
      </c>
      <c r="I114" s="5">
        <f t="shared" ca="1" si="26"/>
        <v>0</v>
      </c>
      <c r="K114" s="411"/>
      <c r="L114" s="411"/>
      <c r="M114" s="397"/>
      <c r="N114" s="397"/>
    </row>
    <row r="115" spans="1:14" ht="20.100000000000001" customHeight="1" x14ac:dyDescent="0.2">
      <c r="A115" s="183">
        <v>67</v>
      </c>
      <c r="B115" s="85" t="str">
        <f t="shared" si="27"/>
        <v xml:space="preserve">Red de agua potable - Relleno superior </v>
      </c>
      <c r="C115" s="90"/>
      <c r="D115" s="91" t="str">
        <f t="shared" si="28"/>
        <v>m3</v>
      </c>
      <c r="E115" s="92">
        <f t="shared" ca="1" si="29"/>
        <v>354.45</v>
      </c>
      <c r="F115" s="93">
        <f t="shared" si="30"/>
        <v>0</v>
      </c>
      <c r="G115" s="93">
        <f t="shared" si="31"/>
        <v>0</v>
      </c>
      <c r="H115" s="93">
        <f t="shared" ca="1" si="32"/>
        <v>0</v>
      </c>
      <c r="I115" s="5">
        <f t="shared" ca="1" si="26"/>
        <v>0</v>
      </c>
      <c r="K115" s="411"/>
      <c r="L115" s="411"/>
      <c r="M115" s="397"/>
      <c r="N115" s="397"/>
    </row>
    <row r="116" spans="1:14" ht="20.100000000000001" customHeight="1" x14ac:dyDescent="0.2">
      <c r="A116" s="183">
        <v>68</v>
      </c>
      <c r="B116" s="85" t="str">
        <f t="shared" si="27"/>
        <v>Red de agua potable - Conexiones domiciliarias agua potable (Provisión, acarreo y coloc. mat. polietileno k10-abrazadera, férula, llave maestra y medidor de caudal, incl UV)</v>
      </c>
      <c r="C116" s="90"/>
      <c r="D116" s="91" t="str">
        <f t="shared" si="28"/>
        <v>u</v>
      </c>
      <c r="E116" s="92">
        <f t="shared" ca="1" si="29"/>
        <v>51</v>
      </c>
      <c r="F116" s="93">
        <f t="shared" si="30"/>
        <v>0</v>
      </c>
      <c r="G116" s="93">
        <f t="shared" si="31"/>
        <v>0</v>
      </c>
      <c r="H116" s="93">
        <f t="shared" ca="1" si="32"/>
        <v>0</v>
      </c>
      <c r="I116" s="5">
        <f t="shared" ca="1" si="26"/>
        <v>0</v>
      </c>
      <c r="K116" s="411"/>
      <c r="L116" s="411"/>
      <c r="M116" s="397"/>
      <c r="N116" s="397"/>
    </row>
    <row r="117" spans="1:14" ht="20.100000000000001" customHeight="1" x14ac:dyDescent="0.2">
      <c r="A117" s="183">
        <v>69</v>
      </c>
      <c r="B117" s="85" t="str">
        <f t="shared" si="27"/>
        <v>Documentación final de obra (minimo 3% Monto Total de la Obra)</v>
      </c>
      <c r="C117" s="90"/>
      <c r="D117" s="91" t="str">
        <f t="shared" si="28"/>
        <v>gl</v>
      </c>
      <c r="E117" s="92">
        <f t="shared" ca="1" si="29"/>
        <v>1</v>
      </c>
      <c r="F117" s="93">
        <f t="shared" si="30"/>
        <v>0</v>
      </c>
      <c r="G117" s="93">
        <f t="shared" si="31"/>
        <v>0</v>
      </c>
      <c r="H117" s="93">
        <f t="shared" ca="1" si="32"/>
        <v>0</v>
      </c>
      <c r="I117" s="5">
        <f t="shared" ca="1" si="26"/>
        <v>0</v>
      </c>
      <c r="K117" s="411"/>
      <c r="L117" s="411"/>
      <c r="M117" s="397"/>
      <c r="N117" s="397"/>
    </row>
    <row r="118" spans="1:14" ht="20.100000000000001" customHeight="1" x14ac:dyDescent="0.2">
      <c r="A118" s="183" t="s">
        <v>1315</v>
      </c>
      <c r="B118" s="85" t="str">
        <f t="shared" si="27"/>
        <v>OBRAS COMPLEMENTARIAS</v>
      </c>
      <c r="C118" s="90"/>
      <c r="D118" s="91">
        <f t="shared" si="28"/>
        <v>0</v>
      </c>
      <c r="E118" s="92">
        <f t="shared" ca="1" si="29"/>
        <v>0</v>
      </c>
      <c r="F118" s="93">
        <f t="shared" si="30"/>
        <v>0</v>
      </c>
      <c r="G118" s="93">
        <f t="shared" si="31"/>
        <v>0</v>
      </c>
      <c r="H118" s="93">
        <f t="shared" ca="1" si="32"/>
        <v>0</v>
      </c>
      <c r="I118" s="5">
        <f t="shared" ca="1" si="26"/>
        <v>0</v>
      </c>
      <c r="K118" s="411"/>
      <c r="L118" s="411"/>
      <c r="M118" s="397"/>
      <c r="N118" s="397"/>
    </row>
    <row r="119" spans="1:14" ht="20.100000000000001" customHeight="1" x14ac:dyDescent="0.2">
      <c r="A119" s="183">
        <v>70</v>
      </c>
      <c r="B119" s="85" t="str">
        <f t="shared" si="27"/>
        <v>Obras Complementarias - Cierre Perimetral</v>
      </c>
      <c r="C119" s="90"/>
      <c r="D119" s="91" t="str">
        <f t="shared" si="28"/>
        <v>ml</v>
      </c>
      <c r="E119" s="92">
        <f t="shared" ca="1" si="29"/>
        <v>198</v>
      </c>
      <c r="F119" s="93">
        <f t="shared" si="30"/>
        <v>0</v>
      </c>
      <c r="G119" s="93">
        <f t="shared" si="31"/>
        <v>0</v>
      </c>
      <c r="H119" s="93">
        <f t="shared" ca="1" si="32"/>
        <v>0</v>
      </c>
      <c r="I119" s="5">
        <f t="shared" ca="1" si="26"/>
        <v>0</v>
      </c>
      <c r="K119" s="411"/>
      <c r="L119" s="411"/>
      <c r="M119" s="397"/>
      <c r="N119" s="397"/>
    </row>
    <row r="120" spans="1:14" ht="20.100000000000001" customHeight="1" x14ac:dyDescent="0.2">
      <c r="A120" s="226"/>
      <c r="B120" s="577"/>
      <c r="C120" s="578"/>
      <c r="D120" s="579"/>
      <c r="E120" s="580"/>
      <c r="F120" s="581"/>
      <c r="G120" s="582"/>
      <c r="H120" s="93"/>
      <c r="I120" s="5"/>
      <c r="K120" s="411"/>
      <c r="L120" s="411"/>
      <c r="M120" s="397"/>
      <c r="N120" s="397"/>
    </row>
    <row r="121" spans="1:14" ht="20.100000000000001" customHeight="1" x14ac:dyDescent="0.2">
      <c r="A121" s="162"/>
      <c r="B121" s="157" t="str">
        <f>"TOTAL COSTO "</f>
        <v xml:space="preserve">TOTAL COSTO </v>
      </c>
      <c r="C121" s="157"/>
      <c r="D121" s="157"/>
      <c r="E121" s="157"/>
      <c r="F121" s="160">
        <f ca="1">+H123</f>
        <v>0</v>
      </c>
      <c r="G121" s="163"/>
      <c r="H121" s="158">
        <f ca="1">SUM(H91:H119)</f>
        <v>0</v>
      </c>
      <c r="I121" s="159">
        <f ca="1">SUM(I91:I119)</f>
        <v>0</v>
      </c>
      <c r="K121" s="475"/>
    </row>
    <row r="122" spans="1:14" ht="20.100000000000001" customHeight="1" thickBot="1" x14ac:dyDescent="0.25">
      <c r="G122" s="94"/>
      <c r="K122" s="411"/>
    </row>
    <row r="123" spans="1:14" s="195" customFormat="1" ht="20.100000000000001" customHeight="1" thickTop="1" x14ac:dyDescent="0.2">
      <c r="A123" s="187" t="s">
        <v>1106</v>
      </c>
      <c r="B123" s="188" t="s">
        <v>1166</v>
      </c>
      <c r="C123" s="189"/>
      <c r="D123" s="190"/>
      <c r="E123" s="191"/>
      <c r="F123" s="192"/>
      <c r="G123" s="191"/>
      <c r="H123" s="313">
        <f ca="1">ROUND(H121/Coef_Paso_Infraestructura,2)</f>
        <v>0</v>
      </c>
      <c r="I123" s="314"/>
      <c r="K123" s="412"/>
    </row>
    <row r="124" spans="1:14" s="195" customFormat="1" ht="20.100000000000001" customHeight="1" x14ac:dyDescent="0.2">
      <c r="A124" s="196" t="s">
        <v>1107</v>
      </c>
      <c r="B124" s="197" t="str">
        <f>"COSTO FINANCIERO  "&amp;ROUND(Costo_Financiero*100,2)&amp;" % de ( 1 )"</f>
        <v>COSTO FINANCIERO  0 % de ( 1 )</v>
      </c>
      <c r="C124" s="198"/>
      <c r="D124" s="199"/>
      <c r="E124" s="200">
        <f>Costo_Financiero</f>
        <v>0</v>
      </c>
      <c r="F124" s="86"/>
      <c r="G124" s="201"/>
      <c r="H124" s="315">
        <f ca="1">ROUND(H123*Costo_Financiero,2)</f>
        <v>0</v>
      </c>
      <c r="I124" s="316"/>
      <c r="K124" s="410"/>
    </row>
    <row r="125" spans="1:14" s="195" customFormat="1" ht="20.100000000000001" customHeight="1" x14ac:dyDescent="0.2">
      <c r="A125" s="196" t="s">
        <v>1108</v>
      </c>
      <c r="B125" s="197" t="s">
        <v>1239</v>
      </c>
      <c r="C125" s="198"/>
      <c r="D125" s="199"/>
      <c r="E125" s="201"/>
      <c r="F125" s="86"/>
      <c r="G125" s="201"/>
      <c r="H125" s="315">
        <f ca="1">H123+H124</f>
        <v>0</v>
      </c>
      <c r="I125" s="316"/>
    </row>
    <row r="126" spans="1:14" s="195" customFormat="1" ht="20.100000000000001" customHeight="1" x14ac:dyDescent="0.2">
      <c r="A126" s="196" t="s">
        <v>1109</v>
      </c>
      <c r="B126" s="203" t="str">
        <f>CONCATENATE("GASTOS GENERALES  ",ROUND(Gastos_Generales*100,3)," % de ( 3 )")</f>
        <v>GASTOS GENERALES  0 % de ( 3 )</v>
      </c>
      <c r="C126" s="203"/>
      <c r="D126" s="204"/>
      <c r="E126" s="200">
        <f>Gastos_Generales</f>
        <v>0</v>
      </c>
      <c r="F126" s="86"/>
      <c r="G126" s="201"/>
      <c r="H126" s="315">
        <f ca="1">ROUND(H125*E126,2)</f>
        <v>0</v>
      </c>
      <c r="I126" s="317"/>
      <c r="K126" s="323"/>
    </row>
    <row r="127" spans="1:14" s="195" customFormat="1" ht="20.100000000000001" customHeight="1" x14ac:dyDescent="0.2">
      <c r="A127" s="196" t="s">
        <v>1110</v>
      </c>
      <c r="B127" s="203" t="str">
        <f>CONCATENATE("BENEFICIOS  ",ROUND(Beneficio*100,2)," % de ( 3 )")</f>
        <v>BENEFICIOS  0 % de ( 3 )</v>
      </c>
      <c r="C127" s="203"/>
      <c r="D127" s="204"/>
      <c r="E127" s="200">
        <f>Beneficio</f>
        <v>0</v>
      </c>
      <c r="F127" s="86"/>
      <c r="G127" s="201"/>
      <c r="H127" s="315">
        <f ca="1">ROUND((H125)*Beneficio,2)</f>
        <v>0</v>
      </c>
      <c r="I127" s="317"/>
      <c r="K127" s="323"/>
    </row>
    <row r="128" spans="1:14" s="195" customFormat="1" ht="20.100000000000001" customHeight="1" x14ac:dyDescent="0.2">
      <c r="A128" s="196">
        <v>6</v>
      </c>
      <c r="B128" s="197" t="s">
        <v>1163</v>
      </c>
      <c r="C128" s="198"/>
      <c r="D128" s="204"/>
      <c r="E128" s="201"/>
      <c r="F128" s="86"/>
      <c r="G128" s="201"/>
      <c r="H128" s="315">
        <f ca="1">H125+H126+H127</f>
        <v>0</v>
      </c>
      <c r="I128" s="317"/>
      <c r="K128" s="323"/>
    </row>
    <row r="129" spans="1:11" s="195" customFormat="1" ht="20.100000000000001" customHeight="1" x14ac:dyDescent="0.2">
      <c r="A129" s="196" t="s">
        <v>1164</v>
      </c>
      <c r="B129" s="203" t="str">
        <f>CONCATENATE("INGRESOS BRUTOS Y LOTE HOGAR  ",ROUND(Ingresos_Brutos*100,2)," % de ( 6 )")</f>
        <v>INGRESOS BRUTOS Y LOTE HOGAR  2,4 % de ( 6 )</v>
      </c>
      <c r="C129" s="203"/>
      <c r="D129" s="204"/>
      <c r="E129" s="200">
        <f>Ingresos_Brutos</f>
        <v>2.4E-2</v>
      </c>
      <c r="F129" s="86"/>
      <c r="G129" s="201"/>
      <c r="H129" s="315">
        <f ca="1">IF(Ingresos_Brutos=0,,ROUND(Ingresos_Brutos*H128,2))</f>
        <v>0</v>
      </c>
      <c r="I129" s="407"/>
      <c r="K129" s="389"/>
    </row>
    <row r="130" spans="1:11" s="195" customFormat="1" ht="20.100000000000001" customHeight="1" thickBot="1" x14ac:dyDescent="0.25">
      <c r="A130" s="205" t="s">
        <v>1165</v>
      </c>
      <c r="B130" s="206" t="str">
        <f>CONCATENATE("IMPUESTO AL VALOR AGREGADO ",IVA_Vivienda*100," % de ( 6 )")</f>
        <v>IMPUESTO AL VALOR AGREGADO 10,5 % de ( 6 )</v>
      </c>
      <c r="C130" s="206"/>
      <c r="D130" s="207"/>
      <c r="E130" s="208">
        <f>IVA_Infraestructura</f>
        <v>0.21</v>
      </c>
      <c r="F130" s="209"/>
      <c r="G130" s="210"/>
      <c r="H130" s="318">
        <f ca="1">IF(IVA_Infraestructura=0,,ROUND(IVA_Infraestructura*H128,2))</f>
        <v>0</v>
      </c>
      <c r="I130" s="319"/>
    </row>
    <row r="131" spans="1:11" ht="20.100000000000001" customHeight="1" thickTop="1" x14ac:dyDescent="0.2">
      <c r="A131" s="100"/>
      <c r="B131" s="95"/>
      <c r="C131" s="95"/>
      <c r="D131" s="96"/>
      <c r="E131" s="97"/>
      <c r="F131" s="98"/>
      <c r="G131" s="101"/>
      <c r="I131" s="96"/>
    </row>
    <row r="132" spans="1:11" ht="20.100000000000001" customHeight="1" x14ac:dyDescent="0.2">
      <c r="B132" s="402" t="str">
        <f>"PRECIO TOTAL "&amp;A89</f>
        <v>PRECIO TOTAL INFRAESTRUCTURA - URBANIZACIÓN - DOC. FINAL DE OBRA - OBRAS DE NEXO - OBRAS COMPLEMENTARIAS</v>
      </c>
      <c r="C132" s="116"/>
      <c r="D132" s="96"/>
      <c r="E132" s="3"/>
      <c r="F132" s="98"/>
      <c r="G132" s="101"/>
      <c r="H132" s="101">
        <f ca="1">H121</f>
        <v>0</v>
      </c>
      <c r="I132" s="406"/>
      <c r="K132" s="475"/>
    </row>
    <row r="133" spans="1:11" ht="19.5" customHeight="1" x14ac:dyDescent="0.2">
      <c r="A133" s="102"/>
      <c r="B133" s="155"/>
      <c r="C133" s="155"/>
      <c r="D133" s="155"/>
      <c r="E133" s="155"/>
      <c r="F133" s="155"/>
      <c r="G133" s="101"/>
      <c r="I133" s="103"/>
    </row>
    <row r="134" spans="1:11" ht="18" x14ac:dyDescent="0.2">
      <c r="B134" s="116" t="s">
        <v>1127</v>
      </c>
      <c r="H134" s="186">
        <f ca="1">+H86+H132</f>
        <v>0</v>
      </c>
      <c r="I134" s="597">
        <f ca="1">+$I$121+$I$75</f>
        <v>0</v>
      </c>
    </row>
    <row r="135" spans="1:11" ht="18" x14ac:dyDescent="0.2">
      <c r="B135" s="116"/>
      <c r="G135" s="101"/>
      <c r="H135" s="121"/>
      <c r="K135" s="475"/>
    </row>
    <row r="136" spans="1:11" ht="34.9" customHeight="1" x14ac:dyDescent="0.2">
      <c r="A136" s="617" t="str">
        <f ca="1">"SON PESOS: "&amp;UPPER(CONVERTIRNUM(Monto_Oferta))</f>
        <v>SON PESOS: CERO PESOS CON 00/100</v>
      </c>
      <c r="B136" s="617"/>
      <c r="C136" s="617"/>
      <c r="D136" s="617"/>
      <c r="E136" s="617"/>
      <c r="F136" s="617"/>
      <c r="G136" s="617"/>
      <c r="H136" s="617"/>
      <c r="I136" s="617"/>
    </row>
    <row r="137" spans="1:11" ht="20.25" x14ac:dyDescent="0.2">
      <c r="A137" s="104" t="s">
        <v>1119</v>
      </c>
      <c r="H137" s="511"/>
    </row>
    <row r="139" spans="1:11" x14ac:dyDescent="0.2">
      <c r="H139" s="475"/>
    </row>
  </sheetData>
  <sheetProtection formatCells="0" formatColumns="0" formatRows="0" insertColumns="0" insertRows="0" deleteColumns="0" deleteRows="0"/>
  <mergeCells count="12">
    <mergeCell ref="H11:H12"/>
    <mergeCell ref="A136:I136"/>
    <mergeCell ref="B26:C26"/>
    <mergeCell ref="B90:C90"/>
    <mergeCell ref="D16:E16"/>
    <mergeCell ref="D17:E17"/>
    <mergeCell ref="D18:E18"/>
    <mergeCell ref="D19:E19"/>
    <mergeCell ref="D20:E20"/>
    <mergeCell ref="D21:E21"/>
    <mergeCell ref="D22:E22"/>
    <mergeCell ref="D23:E23"/>
  </mergeCells>
  <conditionalFormatting sqref="B133:B135 A133 B86:D87 I85:I87 A85:D85">
    <cfRule type="expression" dxfId="114" priority="667" stopIfTrue="1">
      <formula>#REF!=1</formula>
    </cfRule>
  </conditionalFormatting>
  <conditionalFormatting sqref="A120 A89 A16:A24">
    <cfRule type="expression" dxfId="113" priority="668" stopIfTrue="1">
      <formula>#REF!&gt;0</formula>
    </cfRule>
    <cfRule type="expression" dxfId="112" priority="669" stopIfTrue="1">
      <formula>#REF!&gt;0</formula>
    </cfRule>
    <cfRule type="expression" dxfId="111" priority="670" stopIfTrue="1">
      <formula>#REF!&gt;0</formula>
    </cfRule>
  </conditionalFormatting>
  <conditionalFormatting sqref="B120:C120 C91:C119 E91:E120 C28:C74 E28:E74">
    <cfRule type="expression" dxfId="110" priority="671" stopIfTrue="1">
      <formula>#REF!&gt;0</formula>
    </cfRule>
    <cfRule type="expression" dxfId="109" priority="672" stopIfTrue="1">
      <formula>#REF!&gt;0</formula>
    </cfRule>
    <cfRule type="expression" dxfId="108" priority="673" stopIfTrue="1">
      <formula>#REF!&gt;0</formula>
    </cfRule>
  </conditionalFormatting>
  <conditionalFormatting sqref="B133:B135 A85 B85:C87">
    <cfRule type="expression" dxfId="107" priority="674" stopIfTrue="1">
      <formula>#REF!=1</formula>
    </cfRule>
  </conditionalFormatting>
  <conditionalFormatting sqref="I133 B133:B135 G133 G135 H134 B86:D87 I85 A85:D85 F85:G87">
    <cfRule type="expression" dxfId="106" priority="675" stopIfTrue="1">
      <formula>#REF!=1</formula>
    </cfRule>
  </conditionalFormatting>
  <conditionalFormatting sqref="A28:B74 A91:B120">
    <cfRule type="expression" dxfId="105" priority="142">
      <formula>$D28=0</formula>
    </cfRule>
  </conditionalFormatting>
  <conditionalFormatting sqref="B49">
    <cfRule type="expression" dxfId="104" priority="132">
      <formula>$D49=0</formula>
    </cfRule>
  </conditionalFormatting>
  <conditionalFormatting sqref="C49 A28:A74 A91:A120">
    <cfRule type="expression" dxfId="103" priority="136" stopIfTrue="1">
      <formula>#REF!&gt;0</formula>
    </cfRule>
    <cfRule type="expression" dxfId="102" priority="137" stopIfTrue="1">
      <formula>#REF!&gt;0</formula>
    </cfRule>
    <cfRule type="expression" dxfId="101" priority="138" stopIfTrue="1">
      <formula>#REF!&gt;0</formula>
    </cfRule>
  </conditionalFormatting>
  <conditionalFormatting sqref="B132:D132 I126:I132 A126:D131 A123:C125 I80:I84 A80:D84 A77:C79">
    <cfRule type="expression" dxfId="100" priority="98" stopIfTrue="1">
      <formula>#REF!=1</formula>
    </cfRule>
  </conditionalFormatting>
  <conditionalFormatting sqref="B126:C127 B129:C132 A126:A131 A123:D125 B80:C81 B83:C84 A80:A84 A77:D79">
    <cfRule type="expression" dxfId="99" priority="99" stopIfTrue="1">
      <formula>#REF!=1</formula>
    </cfRule>
  </conditionalFormatting>
  <conditionalFormatting sqref="B132:D132 I131 F131:G132 A123:D131 H123:I130 F123:F130 H132 A77:D84 H77:I84 F77:F84 H86:H87">
    <cfRule type="expression" dxfId="98" priority="100" stopIfTrue="1">
      <formula>#REF!=1</formula>
    </cfRule>
  </conditionalFormatting>
  <printOptions horizontalCentered="1"/>
  <pageMargins left="0.59055118110236227" right="0" top="1.1811023622047245" bottom="0.19685039370078741" header="0.39370078740157483" footer="0"/>
  <pageSetup paperSize="5" scale="44" fitToHeight="0" orientation="portrait" r:id="rId1"/>
  <headerFooter>
    <oddHeader>&amp;C&amp;G</oddHeader>
  </headerFooter>
  <rowBreaks count="1" manualBreakCount="1">
    <brk id="8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4">
    <tabColor rgb="FFFF0000"/>
    <pageSetUpPr fitToPage="1"/>
  </sheetPr>
  <dimension ref="A1:R105"/>
  <sheetViews>
    <sheetView showGridLines="0" view="pageBreakPreview" zoomScale="71" zoomScaleNormal="60" zoomScaleSheetLayoutView="71" workbookViewId="0">
      <selection activeCell="G11" sqref="G11"/>
    </sheetView>
  </sheetViews>
  <sheetFormatPr baseColWidth="10" defaultColWidth="11.42578125" defaultRowHeight="20.100000000000001" customHeight="1" x14ac:dyDescent="0.2"/>
  <cols>
    <col min="1" max="1" width="8.7109375" style="62" customWidth="1"/>
    <col min="2" max="2" width="38.42578125" style="62" customWidth="1"/>
    <col min="3" max="3" width="58.42578125" style="62" customWidth="1"/>
    <col min="4" max="4" width="18.7109375" style="62" customWidth="1"/>
    <col min="5" max="5" width="16.7109375" style="63" customWidth="1"/>
    <col min="6" max="17" width="17.7109375" style="62" customWidth="1"/>
    <col min="18" max="18" width="13.7109375" style="252" customWidth="1"/>
    <col min="19" max="16384" width="11.42578125" style="62"/>
  </cols>
  <sheetData>
    <row r="1" spans="1:18" s="98" customFormat="1" ht="20.100000000000001" customHeight="1" x14ac:dyDescent="0.2">
      <c r="A1" s="98" t="s">
        <v>7</v>
      </c>
      <c r="C1" s="428" t="str">
        <f>Comitente</f>
        <v>INSTITUTO PROVINCIAL DE LA VIVIENDA</v>
      </c>
      <c r="R1" s="253"/>
    </row>
    <row r="2" spans="1:18" s="249" customFormat="1" ht="20.100000000000001" customHeight="1" x14ac:dyDescent="0.2">
      <c r="A2" s="249" t="s">
        <v>8</v>
      </c>
      <c r="C2" s="429" t="str">
        <f>Obra</f>
        <v>BARRIO JOSÉ AMÉRICO GRIMALT - SECTOR B</v>
      </c>
      <c r="R2" s="254"/>
    </row>
    <row r="3" spans="1:18" s="249" customFormat="1" ht="20.100000000000001" customHeight="1" x14ac:dyDescent="0.2">
      <c r="A3" s="249" t="s">
        <v>12</v>
      </c>
      <c r="C3" s="429" t="str">
        <f>Ubicación</f>
        <v>DEPTO. ULLÚM</v>
      </c>
      <c r="R3" s="254"/>
    </row>
    <row r="4" spans="1:18" s="249" customFormat="1" ht="20.100000000000001" customHeight="1" x14ac:dyDescent="0.2">
      <c r="A4" s="249" t="s">
        <v>11</v>
      </c>
      <c r="C4" s="430" t="str">
        <f>Número_Licitación</f>
        <v>08/2019</v>
      </c>
      <c r="R4" s="254"/>
    </row>
    <row r="5" spans="1:18" s="249" customFormat="1" ht="20.100000000000001" customHeight="1" x14ac:dyDescent="0.2">
      <c r="A5" s="249" t="s">
        <v>32</v>
      </c>
      <c r="C5" s="430">
        <f>Número_Expediente</f>
        <v>0</v>
      </c>
      <c r="R5" s="254"/>
    </row>
    <row r="6" spans="1:18" s="249" customFormat="1" ht="20.100000000000001" customHeight="1" x14ac:dyDescent="0.2">
      <c r="A6" s="249" t="s">
        <v>1103</v>
      </c>
      <c r="C6" s="432">
        <f>Anticipo_Financiero</f>
        <v>0.05</v>
      </c>
      <c r="D6" s="255"/>
      <c r="R6" s="254"/>
    </row>
    <row r="7" spans="1:18" s="249" customFormat="1" ht="20.100000000000001" customHeight="1" x14ac:dyDescent="0.2">
      <c r="A7" s="249" t="s">
        <v>13</v>
      </c>
      <c r="C7" s="427">
        <f>Plazo_Obra</f>
        <v>360</v>
      </c>
      <c r="R7" s="254"/>
    </row>
    <row r="8" spans="1:18" s="249" customFormat="1" ht="20.100000000000001" customHeight="1" x14ac:dyDescent="0.2">
      <c r="A8" s="249" t="s">
        <v>9</v>
      </c>
      <c r="C8" s="429" t="str">
        <f>Contratista</f>
        <v>xxxxxx</v>
      </c>
      <c r="R8" s="254"/>
    </row>
    <row r="9" spans="1:18" s="249" customFormat="1" ht="20.100000000000001" customHeight="1" x14ac:dyDescent="0.2">
      <c r="A9" s="249" t="s">
        <v>42</v>
      </c>
      <c r="C9" s="429">
        <f ca="1">Monto_Oferta</f>
        <v>0</v>
      </c>
      <c r="R9" s="254"/>
    </row>
    <row r="10" spans="1:18" s="250" customFormat="1" ht="20.100000000000001" customHeight="1" x14ac:dyDescent="0.2">
      <c r="A10" s="250" t="s">
        <v>1137</v>
      </c>
      <c r="C10" s="431">
        <f>Monto_Terreno</f>
        <v>0</v>
      </c>
      <c r="R10" s="256"/>
    </row>
    <row r="11" spans="1:18" s="104" customFormat="1" ht="20.100000000000001" customHeight="1" x14ac:dyDescent="0.2">
      <c r="A11" s="250"/>
      <c r="C11" s="251"/>
      <c r="G11" s="605"/>
      <c r="R11" s="248"/>
    </row>
    <row r="12" spans="1:18" s="104" customFormat="1" ht="20.100000000000001" customHeight="1" x14ac:dyDescent="0.2">
      <c r="A12" s="623" t="s">
        <v>40</v>
      </c>
      <c r="B12" s="624"/>
      <c r="C12" s="624"/>
      <c r="D12" s="625"/>
      <c r="E12" s="98"/>
      <c r="F12" s="98"/>
      <c r="G12" s="98"/>
      <c r="H12" s="98"/>
      <c r="R12" s="248"/>
    </row>
    <row r="14" spans="1:18" ht="20.100000000000001" customHeight="1" x14ac:dyDescent="0.2">
      <c r="A14" s="627" t="s">
        <v>1105</v>
      </c>
      <c r="B14" s="628" t="s">
        <v>0</v>
      </c>
      <c r="C14" s="628"/>
      <c r="D14" s="629" t="s">
        <v>10</v>
      </c>
      <c r="E14" s="78"/>
      <c r="F14" s="630" t="s">
        <v>16</v>
      </c>
      <c r="G14" s="631"/>
      <c r="H14" s="631"/>
      <c r="I14" s="631"/>
      <c r="J14" s="631"/>
      <c r="K14" s="631"/>
      <c r="L14" s="631"/>
      <c r="M14" s="631"/>
      <c r="N14" s="631"/>
      <c r="O14" s="631"/>
      <c r="P14" s="631"/>
      <c r="Q14" s="631"/>
      <c r="R14" s="626" t="s">
        <v>15</v>
      </c>
    </row>
    <row r="15" spans="1:18" ht="20.100000000000001" customHeight="1" x14ac:dyDescent="0.2">
      <c r="A15" s="627"/>
      <c r="B15" s="628"/>
      <c r="C15" s="628"/>
      <c r="D15" s="629"/>
      <c r="E15" s="78"/>
      <c r="F15" s="59">
        <v>1</v>
      </c>
      <c r="G15" s="59">
        <f>F15+1</f>
        <v>2</v>
      </c>
      <c r="H15" s="59">
        <f t="shared" ref="H15:N15" si="0">G15+1</f>
        <v>3</v>
      </c>
      <c r="I15" s="59">
        <f t="shared" si="0"/>
        <v>4</v>
      </c>
      <c r="J15" s="59">
        <f t="shared" si="0"/>
        <v>5</v>
      </c>
      <c r="K15" s="59">
        <f t="shared" si="0"/>
        <v>6</v>
      </c>
      <c r="L15" s="59">
        <f t="shared" si="0"/>
        <v>7</v>
      </c>
      <c r="M15" s="59">
        <f t="shared" si="0"/>
        <v>8</v>
      </c>
      <c r="N15" s="59">
        <f t="shared" si="0"/>
        <v>9</v>
      </c>
      <c r="O15" s="59">
        <v>10</v>
      </c>
      <c r="P15" s="59">
        <v>11</v>
      </c>
      <c r="Q15" s="59">
        <v>12</v>
      </c>
      <c r="R15" s="626"/>
    </row>
    <row r="16" spans="1:18" ht="20.100000000000001" customHeight="1" thickBot="1" x14ac:dyDescent="0.25">
      <c r="A16" s="60"/>
      <c r="B16" s="79"/>
      <c r="C16" s="79"/>
      <c r="D16" s="80"/>
      <c r="E16" s="78"/>
      <c r="F16" s="399"/>
      <c r="G16" s="400"/>
      <c r="H16" s="400"/>
      <c r="I16" s="400"/>
      <c r="J16" s="400"/>
      <c r="K16" s="400"/>
      <c r="L16" s="400"/>
      <c r="M16" s="400"/>
      <c r="N16" s="400"/>
      <c r="O16" s="400"/>
      <c r="P16" s="400"/>
      <c r="Q16" s="400"/>
      <c r="R16" s="487"/>
    </row>
    <row r="17" spans="1:18" ht="20.100000000000001" customHeight="1" x14ac:dyDescent="0.2">
      <c r="A17" s="244" t="str">
        <f>Datos!B35</f>
        <v>A</v>
      </c>
      <c r="B17" s="245" t="str">
        <f>IFERROR(VLOOKUP(A17,Tabla_Comp_Presup,2,FALSE),0)</f>
        <v>VIVIENDA</v>
      </c>
      <c r="C17" s="246"/>
      <c r="D17" s="5"/>
      <c r="E17" s="61"/>
      <c r="F17" s="600"/>
      <c r="G17" s="601"/>
      <c r="H17" s="601"/>
      <c r="I17" s="601"/>
      <c r="J17" s="601"/>
      <c r="K17" s="601"/>
      <c r="L17" s="601"/>
      <c r="M17" s="601"/>
      <c r="N17" s="601"/>
      <c r="O17" s="601"/>
      <c r="P17" s="602"/>
      <c r="Q17" s="602"/>
      <c r="R17" s="603">
        <f t="shared" ref="R17:R51" si="1">SUM(F17:Q17)</f>
        <v>0</v>
      </c>
    </row>
    <row r="18" spans="1:18" ht="20.100000000000001" customHeight="1" x14ac:dyDescent="0.2">
      <c r="A18" s="244">
        <v>1</v>
      </c>
      <c r="B18" s="245" t="str">
        <f>IFERROR(VLOOKUP(A18,Tabla_Comp_Presup,2,FALSE),0)</f>
        <v>Limpieza de terreno y replanteo</v>
      </c>
      <c r="C18" s="246"/>
      <c r="D18" s="5">
        <f ca="1">SUMIF(CyP!A:A,PTyCI!A18,CyP!I:I)</f>
        <v>0</v>
      </c>
      <c r="E18" s="494"/>
      <c r="F18" s="482"/>
      <c r="G18" s="403"/>
      <c r="H18" s="403"/>
      <c r="I18" s="403"/>
      <c r="J18" s="403"/>
      <c r="K18" s="404"/>
      <c r="L18" s="398"/>
      <c r="M18" s="398"/>
      <c r="N18" s="398"/>
      <c r="O18" s="398"/>
      <c r="P18" s="398"/>
      <c r="Q18" s="398"/>
      <c r="R18" s="488">
        <f t="shared" si="1"/>
        <v>0</v>
      </c>
    </row>
    <row r="19" spans="1:18" ht="20.100000000000001" customHeight="1" x14ac:dyDescent="0.2">
      <c r="A19" s="244">
        <v>2</v>
      </c>
      <c r="B19" s="245" t="str">
        <f t="shared" ref="B19:B34" si="2">IFERROR(VLOOKUP(A19,Tabla_Comp_Presup,2,FALSE),0)</f>
        <v>Excavación de Cimientos</v>
      </c>
      <c r="C19" s="246"/>
      <c r="D19" s="5">
        <f ca="1">SUMIF(CyP!A:A,PTyCI!A19,CyP!I:I)</f>
        <v>0</v>
      </c>
      <c r="E19" s="61"/>
      <c r="F19" s="482"/>
      <c r="G19" s="403"/>
      <c r="H19" s="403"/>
      <c r="I19" s="403"/>
      <c r="J19" s="403"/>
      <c r="K19" s="404"/>
      <c r="L19" s="398"/>
      <c r="M19" s="398"/>
      <c r="N19" s="398"/>
      <c r="O19" s="398"/>
      <c r="P19" s="398"/>
      <c r="Q19" s="398"/>
      <c r="R19" s="488">
        <f t="shared" si="1"/>
        <v>0</v>
      </c>
    </row>
    <row r="20" spans="1:18" ht="20.100000000000001" customHeight="1" x14ac:dyDescent="0.2">
      <c r="A20" s="244">
        <v>3</v>
      </c>
      <c r="B20" s="245" t="str">
        <f t="shared" si="2"/>
        <v xml:space="preserve">Relleno Bajo Contrapiso </v>
      </c>
      <c r="C20" s="246"/>
      <c r="D20" s="5">
        <f ca="1">SUMIF(CyP!A:A,PTyCI!A20,CyP!I:I)</f>
        <v>0</v>
      </c>
      <c r="E20" s="61"/>
      <c r="F20" s="482"/>
      <c r="G20" s="404"/>
      <c r="H20" s="404"/>
      <c r="I20" s="404"/>
      <c r="J20" s="404"/>
      <c r="K20" s="484"/>
      <c r="L20" s="495"/>
      <c r="M20" s="398"/>
      <c r="N20" s="398"/>
      <c r="O20" s="398"/>
      <c r="P20" s="398"/>
      <c r="Q20" s="398"/>
      <c r="R20" s="488">
        <f t="shared" si="1"/>
        <v>0</v>
      </c>
    </row>
    <row r="21" spans="1:18" ht="20.100000000000001" customHeight="1" x14ac:dyDescent="0.2">
      <c r="A21" s="244">
        <v>4</v>
      </c>
      <c r="B21" s="245" t="str">
        <f t="shared" si="2"/>
        <v>Hormigón de limpieza</v>
      </c>
      <c r="C21" s="246"/>
      <c r="D21" s="5">
        <f ca="1">SUMIF(CyP!A:A,PTyCI!A21,CyP!I:I)</f>
        <v>0</v>
      </c>
      <c r="E21" s="61"/>
      <c r="F21" s="482"/>
      <c r="G21" s="403"/>
      <c r="H21" s="403"/>
      <c r="I21" s="403"/>
      <c r="J21" s="403"/>
      <c r="K21" s="404"/>
      <c r="L21" s="404"/>
      <c r="M21" s="398"/>
      <c r="N21" s="398"/>
      <c r="O21" s="398"/>
      <c r="P21" s="398"/>
      <c r="Q21" s="398"/>
      <c r="R21" s="488">
        <f t="shared" si="1"/>
        <v>0</v>
      </c>
    </row>
    <row r="22" spans="1:18" ht="20.100000000000001" customHeight="1" x14ac:dyDescent="0.2">
      <c r="A22" s="244">
        <v>5</v>
      </c>
      <c r="B22" s="245" t="str">
        <f t="shared" si="2"/>
        <v>Cimiento Ciclópeo H 13</v>
      </c>
      <c r="C22" s="246"/>
      <c r="D22" s="5">
        <f ca="1">SUMIF(CyP!A:A,PTyCI!A22,CyP!I:I)</f>
        <v>0</v>
      </c>
      <c r="E22" s="61"/>
      <c r="F22" s="482"/>
      <c r="G22" s="403"/>
      <c r="H22" s="403"/>
      <c r="I22" s="403"/>
      <c r="J22" s="403"/>
      <c r="K22" s="404"/>
      <c r="L22" s="495"/>
      <c r="M22" s="398"/>
      <c r="N22" s="398"/>
      <c r="O22" s="398"/>
      <c r="P22" s="398"/>
      <c r="Q22" s="398"/>
      <c r="R22" s="488">
        <f t="shared" si="1"/>
        <v>0</v>
      </c>
    </row>
    <row r="23" spans="1:18" ht="20.100000000000001" customHeight="1" x14ac:dyDescent="0.2">
      <c r="A23" s="244">
        <v>6</v>
      </c>
      <c r="B23" s="245" t="str">
        <f t="shared" si="2"/>
        <v>Dado Fundación  h=15cm</v>
      </c>
      <c r="C23" s="246"/>
      <c r="D23" s="5">
        <f ca="1">SUMIF(CyP!A:A,PTyCI!A23,CyP!I:I)</f>
        <v>0</v>
      </c>
      <c r="E23" s="61"/>
      <c r="F23" s="482"/>
      <c r="G23" s="403"/>
      <c r="H23" s="403"/>
      <c r="I23" s="403"/>
      <c r="J23" s="403"/>
      <c r="K23" s="404"/>
      <c r="L23" s="404"/>
      <c r="M23" s="398"/>
      <c r="N23" s="398"/>
      <c r="O23" s="398"/>
      <c r="P23" s="398"/>
      <c r="Q23" s="398"/>
      <c r="R23" s="488">
        <f t="shared" si="1"/>
        <v>0</v>
      </c>
    </row>
    <row r="24" spans="1:18" ht="20.100000000000001" customHeight="1" x14ac:dyDescent="0.2">
      <c r="A24" s="244">
        <v>7</v>
      </c>
      <c r="B24" s="245" t="str">
        <f t="shared" si="2"/>
        <v>Vigas de Encadenado Inferior - Fundación  H 17</v>
      </c>
      <c r="C24" s="246"/>
      <c r="D24" s="5">
        <f ca="1">SUMIF(CyP!A:A,PTyCI!A24,CyP!I:I)</f>
        <v>0</v>
      </c>
      <c r="E24" s="61"/>
      <c r="F24" s="482"/>
      <c r="G24" s="403"/>
      <c r="H24" s="403"/>
      <c r="I24" s="403"/>
      <c r="J24" s="403"/>
      <c r="K24" s="404"/>
      <c r="L24" s="398"/>
      <c r="M24" s="398"/>
      <c r="N24" s="398"/>
      <c r="O24" s="398"/>
      <c r="P24" s="398"/>
      <c r="Q24" s="398"/>
      <c r="R24" s="488">
        <f t="shared" si="1"/>
        <v>0</v>
      </c>
    </row>
    <row r="25" spans="1:18" ht="20.100000000000001" customHeight="1" x14ac:dyDescent="0.2">
      <c r="A25" s="244">
        <v>8</v>
      </c>
      <c r="B25" s="245" t="str">
        <f t="shared" si="2"/>
        <v>Columna de Encadenado (incluye tronco de columna)</v>
      </c>
      <c r="C25" s="246"/>
      <c r="D25" s="5">
        <f ca="1">SUMIF(CyP!A:A,PTyCI!A25,CyP!I:I)</f>
        <v>0</v>
      </c>
      <c r="E25" s="61"/>
      <c r="F25" s="497"/>
      <c r="G25" s="495"/>
      <c r="H25" s="495"/>
      <c r="I25" s="495"/>
      <c r="J25" s="495"/>
      <c r="K25" s="404"/>
      <c r="L25" s="398"/>
      <c r="M25" s="398"/>
      <c r="N25" s="398"/>
      <c r="O25" s="398"/>
      <c r="P25" s="398"/>
      <c r="Q25" s="398"/>
      <c r="R25" s="488">
        <f t="shared" si="1"/>
        <v>0</v>
      </c>
    </row>
    <row r="26" spans="1:18" ht="20.100000000000001" customHeight="1" x14ac:dyDescent="0.2">
      <c r="A26" s="244">
        <v>9</v>
      </c>
      <c r="B26" s="245" t="str">
        <f t="shared" si="2"/>
        <v>Vigas de Encadenado Superior, Dintel y de Carga</v>
      </c>
      <c r="C26" s="246"/>
      <c r="D26" s="5">
        <f ca="1">SUMIF(CyP!A:A,PTyCI!A26,CyP!I:I)</f>
        <v>0</v>
      </c>
      <c r="E26" s="61"/>
      <c r="F26" s="497"/>
      <c r="G26" s="495"/>
      <c r="H26" s="495"/>
      <c r="I26" s="495"/>
      <c r="J26" s="495"/>
      <c r="K26" s="404"/>
      <c r="L26" s="398"/>
      <c r="M26" s="398"/>
      <c r="N26" s="398"/>
      <c r="O26" s="398"/>
      <c r="P26" s="398"/>
      <c r="Q26" s="398"/>
      <c r="R26" s="488">
        <f t="shared" si="1"/>
        <v>0</v>
      </c>
    </row>
    <row r="27" spans="1:18" ht="20.100000000000001" customHeight="1" x14ac:dyDescent="0.2">
      <c r="A27" s="244">
        <v>10</v>
      </c>
      <c r="B27" s="245" t="str">
        <f t="shared" si="2"/>
        <v>Losa de Hormigón Armado</v>
      </c>
      <c r="C27" s="246"/>
      <c r="D27" s="5">
        <f ca="1">SUMIF(CyP!A:A,PTyCI!A27,CyP!I:I)</f>
        <v>0</v>
      </c>
      <c r="E27" s="61"/>
      <c r="F27" s="496"/>
      <c r="G27" s="495"/>
      <c r="H27" s="495"/>
      <c r="I27" s="404"/>
      <c r="J27" s="404"/>
      <c r="K27" s="404"/>
      <c r="L27" s="398"/>
      <c r="M27" s="398"/>
      <c r="N27" s="398"/>
      <c r="O27" s="398"/>
      <c r="P27" s="398"/>
      <c r="Q27" s="398"/>
      <c r="R27" s="488">
        <f t="shared" si="1"/>
        <v>0</v>
      </c>
    </row>
    <row r="28" spans="1:18" ht="20.100000000000001" customHeight="1" x14ac:dyDescent="0.2">
      <c r="A28" s="244">
        <v>11</v>
      </c>
      <c r="B28" s="245" t="str">
        <f t="shared" si="2"/>
        <v>Tanque de Reserva (incluido cierre base tanque)</v>
      </c>
      <c r="C28" s="246"/>
      <c r="D28" s="5">
        <f ca="1">SUMIF(CyP!A:A,PTyCI!A28,CyP!I:I)</f>
        <v>0</v>
      </c>
      <c r="E28" s="61"/>
      <c r="F28" s="482"/>
      <c r="G28" s="403"/>
      <c r="H28" s="485"/>
      <c r="I28" s="485"/>
      <c r="J28" s="485"/>
      <c r="K28" s="485"/>
      <c r="L28" s="485"/>
      <c r="M28" s="404"/>
      <c r="N28" s="398"/>
      <c r="O28" s="398"/>
      <c r="P28" s="398"/>
      <c r="Q28" s="398"/>
      <c r="R28" s="488">
        <f t="shared" si="1"/>
        <v>0</v>
      </c>
    </row>
    <row r="29" spans="1:18" ht="20.100000000000001" customHeight="1" x14ac:dyDescent="0.2">
      <c r="A29" s="244">
        <v>12</v>
      </c>
      <c r="B29" s="245" t="str">
        <f t="shared" si="2"/>
        <v>Capa aisladora horizontal  18cm</v>
      </c>
      <c r="C29" s="246"/>
      <c r="D29" s="5">
        <f ca="1">SUMIF(CyP!A:A,PTyCI!A29,CyP!I:I)</f>
        <v>0</v>
      </c>
      <c r="E29" s="61"/>
      <c r="F29" s="405"/>
      <c r="G29" s="485"/>
      <c r="H29" s="403"/>
      <c r="I29" s="403"/>
      <c r="J29" s="403"/>
      <c r="K29" s="403"/>
      <c r="L29" s="404"/>
      <c r="M29" s="404"/>
      <c r="N29" s="404"/>
      <c r="O29" s="398"/>
      <c r="P29" s="398"/>
      <c r="Q29" s="398"/>
      <c r="R29" s="488">
        <f t="shared" si="1"/>
        <v>0</v>
      </c>
    </row>
    <row r="30" spans="1:18" ht="20.100000000000001" customHeight="1" x14ac:dyDescent="0.2">
      <c r="A30" s="244">
        <v>13</v>
      </c>
      <c r="B30" s="245" t="str">
        <f t="shared" si="2"/>
        <v xml:space="preserve">Mampostería Ladrillón Cerámico Macizo (soga) </v>
      </c>
      <c r="C30" s="246"/>
      <c r="D30" s="5">
        <f ca="1">SUMIF(CyP!A:A,PTyCI!A30,CyP!I:I)</f>
        <v>0</v>
      </c>
      <c r="E30" s="61"/>
      <c r="F30" s="496"/>
      <c r="G30" s="495"/>
      <c r="H30" s="495"/>
      <c r="I30" s="404"/>
      <c r="J30" s="404"/>
      <c r="K30" s="404"/>
      <c r="L30" s="398"/>
      <c r="M30" s="398"/>
      <c r="N30" s="398"/>
      <c r="O30" s="398"/>
      <c r="P30" s="398"/>
      <c r="Q30" s="398"/>
      <c r="R30" s="488">
        <f t="shared" si="1"/>
        <v>0</v>
      </c>
    </row>
    <row r="31" spans="1:18" ht="20.100000000000001" customHeight="1" x14ac:dyDescent="0.2">
      <c r="A31" s="244">
        <v>14</v>
      </c>
      <c r="B31" s="245" t="str">
        <f t="shared" si="2"/>
        <v>Tabique  Liviano  tipo Durlock ( con placa de yeso de 12,5 mm para sectores húmedos)</v>
      </c>
      <c r="C31" s="246"/>
      <c r="D31" s="5">
        <f ca="1">SUMIF(CyP!A:A,PTyCI!A31,CyP!I:I)</f>
        <v>0</v>
      </c>
      <c r="E31" s="61"/>
      <c r="F31" s="482"/>
      <c r="G31" s="403"/>
      <c r="H31" s="485"/>
      <c r="I31" s="485"/>
      <c r="J31" s="485"/>
      <c r="K31" s="485"/>
      <c r="L31" s="485"/>
      <c r="M31" s="404"/>
      <c r="N31" s="398"/>
      <c r="O31" s="398"/>
      <c r="P31" s="398"/>
      <c r="Q31" s="398"/>
      <c r="R31" s="488">
        <f t="shared" si="1"/>
        <v>0</v>
      </c>
    </row>
    <row r="32" spans="1:18" ht="20.100000000000001" customHeight="1" x14ac:dyDescent="0.2">
      <c r="A32" s="244">
        <v>15</v>
      </c>
      <c r="B32" s="245" t="str">
        <f t="shared" si="2"/>
        <v>Techo de Madera (rollizo Ø 16cm, machimbre 3/4", pintura asfáltica, polietileno de 200 micrones, barniz protector insecticida )</v>
      </c>
      <c r="C32" s="246"/>
      <c r="D32" s="5">
        <f ca="1">SUMIF(CyP!A:A,PTyCI!A32,CyP!I:I)</f>
        <v>0</v>
      </c>
      <c r="E32" s="61"/>
      <c r="F32" s="482"/>
      <c r="G32" s="403"/>
      <c r="H32" s="403"/>
      <c r="I32" s="403"/>
      <c r="J32" s="403"/>
      <c r="K32" s="403"/>
      <c r="L32" s="404"/>
      <c r="M32" s="404"/>
      <c r="N32" s="404"/>
      <c r="O32" s="398"/>
      <c r="P32" s="398"/>
      <c r="Q32" s="398"/>
      <c r="R32" s="488">
        <f t="shared" si="1"/>
        <v>0</v>
      </c>
    </row>
    <row r="33" spans="1:18" ht="20.100000000000001" customHeight="1" x14ac:dyDescent="0.2">
      <c r="A33" s="244">
        <v>16</v>
      </c>
      <c r="B33" s="245" t="str">
        <f t="shared" si="2"/>
        <v>Cubierta de Techo Aislación Térmica e Hidráulica</v>
      </c>
      <c r="C33" s="246"/>
      <c r="D33" s="5">
        <f ca="1">SUMIF(CyP!A:A,PTyCI!A33,CyP!I:I)</f>
        <v>0</v>
      </c>
      <c r="E33" s="61"/>
      <c r="F33" s="482"/>
      <c r="G33" s="404"/>
      <c r="H33" s="404"/>
      <c r="I33" s="404"/>
      <c r="J33" s="404"/>
      <c r="K33" s="404"/>
      <c r="L33" s="404"/>
      <c r="M33" s="404"/>
      <c r="N33" s="398"/>
      <c r="O33" s="398"/>
      <c r="P33" s="398"/>
      <c r="Q33" s="398"/>
      <c r="R33" s="488">
        <f t="shared" si="1"/>
        <v>0</v>
      </c>
    </row>
    <row r="34" spans="1:18" ht="20.100000000000001" customHeight="1" x14ac:dyDescent="0.2">
      <c r="A34" s="244">
        <v>17</v>
      </c>
      <c r="B34" s="245" t="str">
        <f t="shared" si="2"/>
        <v>Contrapiso  Interior</v>
      </c>
      <c r="C34" s="246"/>
      <c r="D34" s="5">
        <f ca="1">SUMIF(CyP!A:A,PTyCI!A34,CyP!I:I)</f>
        <v>0</v>
      </c>
      <c r="E34" s="61"/>
      <c r="F34" s="405"/>
      <c r="G34" s="403"/>
      <c r="H34" s="403"/>
      <c r="I34" s="404"/>
      <c r="J34" s="404"/>
      <c r="K34" s="404"/>
      <c r="L34" s="404"/>
      <c r="M34" s="404"/>
      <c r="N34" s="404"/>
      <c r="O34" s="398"/>
      <c r="P34" s="398"/>
      <c r="Q34" s="398"/>
      <c r="R34" s="488">
        <f t="shared" si="1"/>
        <v>0</v>
      </c>
    </row>
    <row r="35" spans="1:18" ht="20.100000000000001" customHeight="1" x14ac:dyDescent="0.2">
      <c r="A35" s="244">
        <v>18</v>
      </c>
      <c r="B35" s="245" t="str">
        <f>IFERROR(VLOOKUP(A35,Tabla_Comp_Presup,2,FALSE),0)</f>
        <v>Carpeta bajo Cerámico e=4cm</v>
      </c>
      <c r="C35" s="246"/>
      <c r="D35" s="5">
        <f ca="1">SUMIF(CyP!A:A,PTyCI!A35,CyP!I:I)</f>
        <v>0</v>
      </c>
      <c r="E35" s="61"/>
      <c r="F35" s="405"/>
      <c r="G35" s="483"/>
      <c r="H35" s="403"/>
      <c r="I35" s="403"/>
      <c r="J35" s="403"/>
      <c r="K35" s="403"/>
      <c r="L35" s="403"/>
      <c r="M35" s="404"/>
      <c r="N35" s="404"/>
      <c r="O35" s="398"/>
      <c r="P35" s="398"/>
      <c r="Q35" s="398"/>
      <c r="R35" s="488">
        <f t="shared" si="1"/>
        <v>0</v>
      </c>
    </row>
    <row r="36" spans="1:18" ht="20.100000000000001" customHeight="1" x14ac:dyDescent="0.2">
      <c r="A36" s="244">
        <v>19</v>
      </c>
      <c r="B36" s="245" t="str">
        <f>IFERROR(VLOOKUP(A36,Tabla_Comp_Presup,2,FALSE),0)</f>
        <v>Piso baldosa cerámica (incluido umbrales)</v>
      </c>
      <c r="C36" s="246"/>
      <c r="D36" s="5">
        <f ca="1">SUMIF(CyP!A:A,PTyCI!A36,CyP!I:I)</f>
        <v>0</v>
      </c>
      <c r="E36" s="61"/>
      <c r="F36" s="482"/>
      <c r="G36" s="404"/>
      <c r="H36" s="404"/>
      <c r="I36" s="404"/>
      <c r="J36" s="404"/>
      <c r="K36" s="404"/>
      <c r="L36" s="404"/>
      <c r="M36" s="404"/>
      <c r="N36" s="398"/>
      <c r="O36" s="398"/>
      <c r="P36" s="398"/>
      <c r="Q36" s="398"/>
      <c r="R36" s="488">
        <f t="shared" si="1"/>
        <v>0</v>
      </c>
    </row>
    <row r="37" spans="1:18" ht="20.100000000000001" customHeight="1" x14ac:dyDescent="0.2">
      <c r="A37" s="244">
        <v>20</v>
      </c>
      <c r="B37" s="245" t="str">
        <f>IFERROR(VLOOKUP(A37,Tabla_Comp_Presup,2,FALSE),0)</f>
        <v>Contrapisos de Veredín perimetral, vereda de acceso y galería</v>
      </c>
      <c r="C37" s="246"/>
      <c r="D37" s="5">
        <f ca="1">SUMIF(CyP!A:A,PTyCI!A37,CyP!I:I)</f>
        <v>0</v>
      </c>
      <c r="E37" s="61"/>
      <c r="F37" s="482"/>
      <c r="G37" s="403"/>
      <c r="H37" s="403"/>
      <c r="I37" s="404"/>
      <c r="J37" s="404"/>
      <c r="K37" s="404"/>
      <c r="L37" s="404"/>
      <c r="M37" s="404"/>
      <c r="N37" s="404"/>
      <c r="O37" s="403"/>
      <c r="P37" s="398"/>
      <c r="Q37" s="398"/>
      <c r="R37" s="488">
        <f t="shared" si="1"/>
        <v>0</v>
      </c>
    </row>
    <row r="38" spans="1:18" ht="20.100000000000001" customHeight="1" x14ac:dyDescent="0.2">
      <c r="A38" s="244">
        <v>21</v>
      </c>
      <c r="B38" s="245" t="str">
        <f>IFERROR(VLOOKUP(A38,Tabla_Comp_Presup,2,FALSE),0)</f>
        <v>Zócalo cerámico - esp.= 7cm</v>
      </c>
      <c r="C38" s="246"/>
      <c r="D38" s="5">
        <f ca="1">SUMIF(CyP!A:A,PTyCI!A38,CyP!I:I)</f>
        <v>0</v>
      </c>
      <c r="E38" s="61"/>
      <c r="F38" s="482"/>
      <c r="G38" s="403"/>
      <c r="H38" s="403"/>
      <c r="I38" s="403"/>
      <c r="J38" s="403"/>
      <c r="K38" s="403"/>
      <c r="L38" s="403"/>
      <c r="M38" s="404"/>
      <c r="N38" s="404"/>
      <c r="O38" s="398"/>
      <c r="P38" s="398"/>
      <c r="Q38" s="398"/>
      <c r="R38" s="488">
        <f t="shared" si="1"/>
        <v>0</v>
      </c>
    </row>
    <row r="39" spans="1:18" ht="20.100000000000001" customHeight="1" x14ac:dyDescent="0.2">
      <c r="A39" s="244">
        <v>22</v>
      </c>
      <c r="B39" s="245" t="str">
        <f t="shared" ref="B39:B53" si="3">IFERROR(VLOOKUP(A39,Tabla_Comp_Presup,2,FALSE),0)</f>
        <v>Carpinterías metálica, aluminio y madera</v>
      </c>
      <c r="C39" s="246"/>
      <c r="D39" s="5">
        <f ca="1">SUMIF(CyP!A:A,PTyCI!A39,CyP!I:I)</f>
        <v>0</v>
      </c>
      <c r="E39" s="61"/>
      <c r="F39" s="482"/>
      <c r="G39" s="403"/>
      <c r="H39" s="403"/>
      <c r="I39" s="403"/>
      <c r="J39" s="403"/>
      <c r="K39" s="403"/>
      <c r="L39" s="403"/>
      <c r="M39" s="404"/>
      <c r="N39" s="404"/>
      <c r="O39" s="398"/>
      <c r="P39" s="398"/>
      <c r="Q39" s="398"/>
      <c r="R39" s="488">
        <f t="shared" si="1"/>
        <v>0</v>
      </c>
    </row>
    <row r="40" spans="1:18" ht="20.100000000000001" customHeight="1" x14ac:dyDescent="0.2">
      <c r="A40" s="244">
        <v>23</v>
      </c>
      <c r="B40" s="245" t="str">
        <f t="shared" si="3"/>
        <v>Jaharro b/ revestimiento cerámico</v>
      </c>
      <c r="C40" s="246"/>
      <c r="D40" s="5">
        <f ca="1">SUMIF(CyP!A:A,PTyCI!A40,CyP!I:I)</f>
        <v>0</v>
      </c>
      <c r="E40" s="61"/>
      <c r="F40" s="482"/>
      <c r="G40" s="403"/>
      <c r="H40" s="403"/>
      <c r="I40" s="403"/>
      <c r="J40" s="403"/>
      <c r="K40" s="403"/>
      <c r="L40" s="403"/>
      <c r="M40" s="404"/>
      <c r="N40" s="404"/>
      <c r="O40" s="398"/>
      <c r="P40" s="398"/>
      <c r="Q40" s="398"/>
      <c r="R40" s="488">
        <f>SUM(F40:Q40)</f>
        <v>0</v>
      </c>
    </row>
    <row r="41" spans="1:18" ht="20.100000000000001" customHeight="1" x14ac:dyDescent="0.2">
      <c r="A41" s="244">
        <v>24</v>
      </c>
      <c r="B41" s="512" t="str">
        <f t="shared" ref="B41" si="4">IFERROR(VLOOKUP(A41,Tabla_Comp_Presup,2,FALSE),0)</f>
        <v>Jaharro y Enlucido a la cal (interior)</v>
      </c>
      <c r="C41" s="513"/>
      <c r="D41" s="514">
        <f ca="1">SUMIF(CyP!A:A,PTyCI!A41,CyP!I:I)</f>
        <v>0</v>
      </c>
      <c r="E41" s="515"/>
      <c r="F41" s="482"/>
      <c r="G41" s="403"/>
      <c r="H41" s="403"/>
      <c r="I41" s="403"/>
      <c r="J41" s="403"/>
      <c r="K41" s="403"/>
      <c r="L41" s="403"/>
      <c r="M41" s="404"/>
      <c r="N41" s="404"/>
      <c r="O41" s="398"/>
      <c r="P41" s="398"/>
      <c r="Q41" s="398"/>
      <c r="R41" s="516">
        <f>SUM(F41:Q41)</f>
        <v>0</v>
      </c>
    </row>
    <row r="42" spans="1:18" ht="20.100000000000001" customHeight="1" x14ac:dyDescent="0.2">
      <c r="A42" s="244">
        <v>25</v>
      </c>
      <c r="B42" s="245" t="str">
        <f t="shared" si="3"/>
        <v>Revestimiento cerámico</v>
      </c>
      <c r="C42" s="246"/>
      <c r="D42" s="5">
        <f ca="1">SUMIF(CyP!A:A,PTyCI!A42,CyP!I:I)</f>
        <v>0</v>
      </c>
      <c r="E42" s="61"/>
      <c r="F42" s="482"/>
      <c r="G42" s="403"/>
      <c r="H42" s="403"/>
      <c r="I42" s="403"/>
      <c r="J42" s="403"/>
      <c r="K42" s="403"/>
      <c r="L42" s="403"/>
      <c r="M42" s="404"/>
      <c r="N42" s="404"/>
      <c r="O42" s="398"/>
      <c r="P42" s="398"/>
      <c r="Q42" s="398"/>
      <c r="R42" s="488">
        <f t="shared" si="1"/>
        <v>0</v>
      </c>
    </row>
    <row r="43" spans="1:18" ht="20.100000000000001" customHeight="1" x14ac:dyDescent="0.2">
      <c r="A43" s="244">
        <v>26</v>
      </c>
      <c r="B43" s="245" t="str">
        <f t="shared" si="3"/>
        <v>Salpicado Plástico Incluido Jaharro</v>
      </c>
      <c r="C43" s="246"/>
      <c r="D43" s="5">
        <f ca="1">SUMIF(CyP!A:A,PTyCI!A43,CyP!I:I)</f>
        <v>0</v>
      </c>
      <c r="E43" s="61"/>
      <c r="F43" s="482"/>
      <c r="G43" s="403"/>
      <c r="H43" s="403"/>
      <c r="I43" s="403"/>
      <c r="J43" s="403"/>
      <c r="K43" s="403"/>
      <c r="L43" s="403"/>
      <c r="M43" s="404"/>
      <c r="N43" s="404"/>
      <c r="O43" s="398"/>
      <c r="P43" s="398"/>
      <c r="Q43" s="398"/>
      <c r="R43" s="488">
        <f t="shared" si="1"/>
        <v>0</v>
      </c>
    </row>
    <row r="44" spans="1:18" ht="20.100000000000001" customHeight="1" x14ac:dyDescent="0.2">
      <c r="A44" s="244">
        <v>27</v>
      </c>
      <c r="B44" s="245" t="str">
        <f t="shared" si="3"/>
        <v>Cielorraso aplicado a la cal</v>
      </c>
      <c r="C44" s="246"/>
      <c r="D44" s="5">
        <f ca="1">SUMIF(CyP!A:A,PTyCI!A44,CyP!I:I)</f>
        <v>0</v>
      </c>
      <c r="E44" s="61"/>
      <c r="F44" s="482"/>
      <c r="G44" s="403"/>
      <c r="H44" s="403"/>
      <c r="I44" s="403"/>
      <c r="J44" s="403"/>
      <c r="K44" s="403"/>
      <c r="L44" s="403"/>
      <c r="M44" s="404"/>
      <c r="N44" s="404"/>
      <c r="O44" s="398"/>
      <c r="P44" s="398"/>
      <c r="Q44" s="398"/>
      <c r="R44" s="488">
        <f t="shared" si="1"/>
        <v>0</v>
      </c>
    </row>
    <row r="45" spans="1:18" ht="20.100000000000001" customHeight="1" x14ac:dyDescent="0.2">
      <c r="A45" s="244">
        <v>28</v>
      </c>
      <c r="B45" s="245" t="str">
        <f t="shared" ref="B45" si="5">IFERROR(VLOOKUP(A45,Tabla_Comp_Presup,2,FALSE),0)</f>
        <v>Mesadas, campana y ventilaciones (incluida mesada exterior)</v>
      </c>
      <c r="C45" s="246"/>
      <c r="D45" s="5">
        <f ca="1">SUMIF(CyP!A:A,PTyCI!A45,CyP!I:I)</f>
        <v>0</v>
      </c>
      <c r="E45" s="61"/>
      <c r="F45" s="482"/>
      <c r="G45" s="403"/>
      <c r="H45" s="403"/>
      <c r="I45" s="403"/>
      <c r="J45" s="403"/>
      <c r="K45" s="403"/>
      <c r="L45" s="403"/>
      <c r="M45" s="404"/>
      <c r="N45" s="404"/>
      <c r="O45" s="398"/>
      <c r="P45" s="398"/>
      <c r="Q45" s="398"/>
      <c r="R45" s="488">
        <f>SUM(F45:Q45)</f>
        <v>0</v>
      </c>
    </row>
    <row r="46" spans="1:18" ht="20.100000000000001" customHeight="1" x14ac:dyDescent="0.2">
      <c r="A46" s="244" t="s">
        <v>1352</v>
      </c>
      <c r="B46" s="245" t="str">
        <f t="shared" si="3"/>
        <v>Mesadas, campana y ventilaciones p/ disc.(incluida mesada exterior)</v>
      </c>
      <c r="C46" s="246"/>
      <c r="D46" s="5">
        <f ca="1">SUMIF(CyP!A:A,PTyCI!A46,CyP!I:I)</f>
        <v>0</v>
      </c>
      <c r="E46" s="61"/>
      <c r="F46" s="482"/>
      <c r="G46" s="403"/>
      <c r="H46" s="403"/>
      <c r="I46" s="403"/>
      <c r="J46" s="403"/>
      <c r="K46" s="403"/>
      <c r="L46" s="403"/>
      <c r="M46" s="404"/>
      <c r="N46" s="404"/>
      <c r="O46" s="398"/>
      <c r="P46" s="398"/>
      <c r="Q46" s="398"/>
      <c r="R46" s="488">
        <f t="shared" si="1"/>
        <v>0</v>
      </c>
    </row>
    <row r="47" spans="1:18" ht="20.100000000000001" customHeight="1" x14ac:dyDescent="0.2">
      <c r="A47" s="244">
        <v>29</v>
      </c>
      <c r="B47" s="245" t="str">
        <f t="shared" si="3"/>
        <v>Antepechos de H° Armado con goterón bajo nariz de 2cm</v>
      </c>
      <c r="C47" s="246"/>
      <c r="D47" s="5">
        <f ca="1">SUMIF(CyP!A:A,PTyCI!A47,CyP!I:I)</f>
        <v>0</v>
      </c>
      <c r="E47" s="61"/>
      <c r="F47" s="482"/>
      <c r="G47" s="403"/>
      <c r="H47" s="403"/>
      <c r="I47" s="403"/>
      <c r="J47" s="403"/>
      <c r="K47" s="403"/>
      <c r="L47" s="403"/>
      <c r="M47" s="404"/>
      <c r="N47" s="404"/>
      <c r="O47" s="398"/>
      <c r="P47" s="398"/>
      <c r="Q47" s="398"/>
      <c r="R47" s="488">
        <f t="shared" si="1"/>
        <v>0</v>
      </c>
    </row>
    <row r="48" spans="1:18" ht="20.100000000000001" customHeight="1" x14ac:dyDescent="0.2">
      <c r="A48" s="244">
        <v>30</v>
      </c>
      <c r="B48" s="245" t="str">
        <f t="shared" ref="B48" si="6">IFERROR(VLOOKUP(A48,Tabla_Comp_Presup,2,FALSE),0)</f>
        <v>Esmalte sintético sobre carpintería metálica</v>
      </c>
      <c r="C48" s="246"/>
      <c r="D48" s="5">
        <f ca="1">SUMIF(CyP!A:A,PTyCI!A48,CyP!I:I)</f>
        <v>0</v>
      </c>
      <c r="E48" s="61"/>
      <c r="F48" s="482"/>
      <c r="G48" s="403"/>
      <c r="H48" s="403"/>
      <c r="I48" s="403"/>
      <c r="J48" s="403"/>
      <c r="K48" s="403"/>
      <c r="L48" s="403"/>
      <c r="M48" s="404"/>
      <c r="N48" s="404"/>
      <c r="O48" s="398"/>
      <c r="P48" s="398"/>
      <c r="Q48" s="398"/>
      <c r="R48" s="488">
        <f t="shared" si="1"/>
        <v>0</v>
      </c>
    </row>
    <row r="49" spans="1:18" ht="20.100000000000001" customHeight="1" x14ac:dyDescent="0.2">
      <c r="A49" s="244">
        <v>31</v>
      </c>
      <c r="B49" s="245" t="str">
        <f t="shared" si="3"/>
        <v>Esmalte sintético sobre carpintería madera</v>
      </c>
      <c r="C49" s="246"/>
      <c r="D49" s="5">
        <f ca="1">SUMIF(CyP!A:A,PTyCI!A49,CyP!I:I)</f>
        <v>0</v>
      </c>
      <c r="E49" s="61"/>
      <c r="F49" s="482"/>
      <c r="G49" s="403"/>
      <c r="H49" s="403"/>
      <c r="I49" s="403"/>
      <c r="J49" s="403"/>
      <c r="K49" s="403"/>
      <c r="L49" s="403"/>
      <c r="M49" s="404"/>
      <c r="N49" s="404"/>
      <c r="O49" s="398"/>
      <c r="P49" s="398"/>
      <c r="Q49" s="398"/>
      <c r="R49" s="488">
        <f t="shared" si="1"/>
        <v>0</v>
      </c>
    </row>
    <row r="50" spans="1:18" ht="20.100000000000001" customHeight="1" x14ac:dyDescent="0.2">
      <c r="A50" s="244">
        <v>32</v>
      </c>
      <c r="B50" s="245" t="str">
        <f t="shared" si="3"/>
        <v>Látex muro interior/exterior</v>
      </c>
      <c r="C50" s="246"/>
      <c r="D50" s="5">
        <f ca="1">SUMIF(CyP!A:A,PTyCI!A50,CyP!I:I)</f>
        <v>0</v>
      </c>
      <c r="E50" s="61"/>
      <c r="F50" s="482"/>
      <c r="G50" s="403"/>
      <c r="H50" s="403"/>
      <c r="I50" s="403"/>
      <c r="J50" s="403"/>
      <c r="K50" s="403"/>
      <c r="L50" s="403"/>
      <c r="M50" s="404"/>
      <c r="N50" s="404"/>
      <c r="O50" s="398"/>
      <c r="P50" s="398"/>
      <c r="Q50" s="398"/>
      <c r="R50" s="488">
        <f t="shared" si="1"/>
        <v>0</v>
      </c>
    </row>
    <row r="51" spans="1:18" ht="20.100000000000001" customHeight="1" x14ac:dyDescent="0.2">
      <c r="A51" s="244">
        <v>33</v>
      </c>
      <c r="B51" s="245" t="str">
        <f t="shared" si="3"/>
        <v>Pintura látex interior en cielorrasos</v>
      </c>
      <c r="C51" s="246"/>
      <c r="D51" s="5">
        <f ca="1">SUMIF(CyP!A:A,PTyCI!A51,CyP!I:I)</f>
        <v>0</v>
      </c>
      <c r="E51" s="61"/>
      <c r="F51" s="482"/>
      <c r="G51" s="403"/>
      <c r="H51" s="403"/>
      <c r="I51" s="403"/>
      <c r="J51" s="403"/>
      <c r="K51" s="403"/>
      <c r="L51" s="403"/>
      <c r="M51" s="404"/>
      <c r="N51" s="404"/>
      <c r="O51" s="398"/>
      <c r="P51" s="398"/>
      <c r="Q51" s="398"/>
      <c r="R51" s="488">
        <f t="shared" si="1"/>
        <v>0</v>
      </c>
    </row>
    <row r="52" spans="1:18" ht="20.100000000000001" customHeight="1" x14ac:dyDescent="0.2">
      <c r="A52" s="244">
        <v>34</v>
      </c>
      <c r="B52" s="245" t="str">
        <f t="shared" si="3"/>
        <v>Provisión y colocación de cristal float 3mm</v>
      </c>
      <c r="C52" s="246"/>
      <c r="D52" s="5">
        <f ca="1">SUMIF(CyP!A:A,PTyCI!A52,CyP!I:I)</f>
        <v>0</v>
      </c>
      <c r="E52" s="61"/>
      <c r="F52" s="482"/>
      <c r="G52" s="403"/>
      <c r="H52" s="403"/>
      <c r="I52" s="403"/>
      <c r="J52" s="403"/>
      <c r="K52" s="403"/>
      <c r="L52" s="403"/>
      <c r="M52" s="404"/>
      <c r="N52" s="404"/>
      <c r="O52" s="398"/>
      <c r="P52" s="398"/>
      <c r="Q52" s="398"/>
      <c r="R52" s="488">
        <f t="shared" ref="R52:R84" si="7">SUM(F52:Q52)</f>
        <v>0</v>
      </c>
    </row>
    <row r="53" spans="1:18" ht="20.100000000000001" customHeight="1" x14ac:dyDescent="0.2">
      <c r="A53" s="244">
        <v>35</v>
      </c>
      <c r="B53" s="245" t="str">
        <f t="shared" si="3"/>
        <v>Provisión y colocación de cristal float 4mm</v>
      </c>
      <c r="C53" s="246"/>
      <c r="D53" s="5">
        <f ca="1">SUMIF(CyP!A:A,PTyCI!A53,CyP!I:I)</f>
        <v>0</v>
      </c>
      <c r="E53" s="61"/>
      <c r="F53" s="482"/>
      <c r="G53" s="403"/>
      <c r="H53" s="403"/>
      <c r="I53" s="403"/>
      <c r="J53" s="403"/>
      <c r="K53" s="403"/>
      <c r="L53" s="403"/>
      <c r="M53" s="404"/>
      <c r="N53" s="404"/>
      <c r="O53" s="398"/>
      <c r="P53" s="398"/>
      <c r="Q53" s="398"/>
      <c r="R53" s="488">
        <f t="shared" si="7"/>
        <v>0</v>
      </c>
    </row>
    <row r="54" spans="1:18" ht="20.100000000000001" customHeight="1" x14ac:dyDescent="0.2">
      <c r="A54" s="244">
        <v>36</v>
      </c>
      <c r="B54" s="245" t="str">
        <f t="shared" ref="B54:B82" si="8">IFERROR(VLOOKUP(A54,Tabla_Comp_Presup,2,FALSE),0)</f>
        <v>Pérgolas (Frente y Fondo)  - Incluye Base de Hormigón Simple H 13</v>
      </c>
      <c r="C54" s="246"/>
      <c r="D54" s="5">
        <f ca="1">SUMIF(CyP!A:A,PTyCI!A54,CyP!I:I)</f>
        <v>0</v>
      </c>
      <c r="E54" s="61"/>
      <c r="F54" s="482"/>
      <c r="G54" s="403"/>
      <c r="H54" s="403"/>
      <c r="I54" s="403"/>
      <c r="J54" s="403"/>
      <c r="K54" s="403"/>
      <c r="L54" s="403"/>
      <c r="M54" s="404"/>
      <c r="N54" s="404"/>
      <c r="O54" s="398"/>
      <c r="P54" s="398"/>
      <c r="Q54" s="398"/>
      <c r="R54" s="488">
        <f t="shared" si="7"/>
        <v>0</v>
      </c>
    </row>
    <row r="55" spans="1:18" ht="20.100000000000001" customHeight="1" x14ac:dyDescent="0.2">
      <c r="A55" s="244">
        <v>37</v>
      </c>
      <c r="B55" s="245" t="str">
        <f t="shared" si="8"/>
        <v xml:space="preserve">Instalación sanitaria (incl. cañería base, distrib. AF-AC, artefactos y grifería) </v>
      </c>
      <c r="C55" s="246"/>
      <c r="D55" s="5">
        <f ca="1">SUMIF(CyP!A:A,PTyCI!A55,CyP!I:I)</f>
        <v>0</v>
      </c>
      <c r="E55" s="61"/>
      <c r="F55" s="482"/>
      <c r="G55" s="403"/>
      <c r="H55" s="403"/>
      <c r="I55" s="403"/>
      <c r="J55" s="403"/>
      <c r="K55" s="403"/>
      <c r="L55" s="403"/>
      <c r="M55" s="404"/>
      <c r="N55" s="404"/>
      <c r="O55" s="398"/>
      <c r="P55" s="398"/>
      <c r="Q55" s="398"/>
      <c r="R55" s="488">
        <f t="shared" si="7"/>
        <v>0</v>
      </c>
    </row>
    <row r="56" spans="1:18" ht="20.100000000000001" customHeight="1" x14ac:dyDescent="0.2">
      <c r="A56" s="244" t="s">
        <v>1353</v>
      </c>
      <c r="B56" s="245" t="str">
        <f t="shared" si="8"/>
        <v xml:space="preserve">Instalación sanitaria p/ disc.(incl. cañería base, distrib. AF-AC, artefactos y grifería) </v>
      </c>
      <c r="C56" s="246"/>
      <c r="D56" s="5">
        <f ca="1">SUMIF(CyP!A:A,PTyCI!A56,CyP!I:I)</f>
        <v>0</v>
      </c>
      <c r="E56" s="61"/>
      <c r="F56" s="482"/>
      <c r="G56" s="403"/>
      <c r="H56" s="403"/>
      <c r="I56" s="403"/>
      <c r="J56" s="403"/>
      <c r="K56" s="403"/>
      <c r="L56" s="403"/>
      <c r="M56" s="404"/>
      <c r="N56" s="404"/>
      <c r="O56" s="398"/>
      <c r="P56" s="398"/>
      <c r="Q56" s="398"/>
      <c r="R56" s="488">
        <f t="shared" si="7"/>
        <v>0</v>
      </c>
    </row>
    <row r="57" spans="1:18" ht="20.100000000000001" customHeight="1" x14ac:dyDescent="0.2">
      <c r="A57" s="244">
        <v>38</v>
      </c>
      <c r="B57" s="245" t="str">
        <f t="shared" si="8"/>
        <v>Calefón Solar - Termosifónico - Captador por tubo de vacío</v>
      </c>
      <c r="C57" s="246"/>
      <c r="D57" s="5">
        <f ca="1">SUMIF(CyP!A:A,PTyCI!A57,CyP!I:I)</f>
        <v>0</v>
      </c>
      <c r="E57" s="61"/>
      <c r="F57" s="482"/>
      <c r="G57" s="403"/>
      <c r="H57" s="403"/>
      <c r="I57" s="403"/>
      <c r="J57" s="403"/>
      <c r="K57" s="403"/>
      <c r="L57" s="403"/>
      <c r="M57" s="404"/>
      <c r="N57" s="404"/>
      <c r="O57" s="398"/>
      <c r="P57" s="398"/>
      <c r="Q57" s="398"/>
      <c r="R57" s="488">
        <f t="shared" si="7"/>
        <v>0</v>
      </c>
    </row>
    <row r="58" spans="1:18" ht="20.100000000000001" customHeight="1" x14ac:dyDescent="0.2">
      <c r="A58" s="244">
        <v>39</v>
      </c>
      <c r="B58" s="245" t="str">
        <f t="shared" si="8"/>
        <v>Instalación de Gas (Incl. Cocina 4 hornallas c/horno)</v>
      </c>
      <c r="C58" s="246"/>
      <c r="D58" s="5">
        <f ca="1">SUMIF(CyP!A:A,PTyCI!A58,CyP!I:I)</f>
        <v>0</v>
      </c>
      <c r="E58" s="61"/>
      <c r="F58" s="482"/>
      <c r="G58" s="403"/>
      <c r="H58" s="403"/>
      <c r="I58" s="403"/>
      <c r="J58" s="403"/>
      <c r="K58" s="403"/>
      <c r="L58" s="403"/>
      <c r="M58" s="404"/>
      <c r="N58" s="404"/>
      <c r="O58" s="398"/>
      <c r="P58" s="398"/>
      <c r="Q58" s="398"/>
      <c r="R58" s="488">
        <f t="shared" si="7"/>
        <v>0</v>
      </c>
    </row>
    <row r="59" spans="1:18" ht="20.100000000000001" customHeight="1" x14ac:dyDescent="0.2">
      <c r="A59" s="244">
        <v>40</v>
      </c>
      <c r="B59" s="245" t="str">
        <f t="shared" si="8"/>
        <v>Instalación de gas - Gabinete para tubos</v>
      </c>
      <c r="C59" s="246"/>
      <c r="D59" s="5">
        <f ca="1">SUMIF(CyP!A:A,PTyCI!A59,CyP!I:I)</f>
        <v>0</v>
      </c>
      <c r="E59" s="61"/>
      <c r="F59" s="482"/>
      <c r="G59" s="403"/>
      <c r="H59" s="403"/>
      <c r="I59" s="403"/>
      <c r="J59" s="403"/>
      <c r="K59" s="403"/>
      <c r="L59" s="403"/>
      <c r="M59" s="404"/>
      <c r="N59" s="404"/>
      <c r="O59" s="398"/>
      <c r="P59" s="398"/>
      <c r="Q59" s="398"/>
      <c r="R59" s="488">
        <f t="shared" si="7"/>
        <v>0</v>
      </c>
    </row>
    <row r="60" spans="1:18" ht="20.100000000000001" customHeight="1" x14ac:dyDescent="0.2">
      <c r="A60" s="244">
        <v>41</v>
      </c>
      <c r="B60" s="245" t="str">
        <f t="shared" si="8"/>
        <v>Instalación eléctrica (incl.pilastra,proc.cañerias p/3AA,y preveer espacios en tablero gral. p/llaves termomagnéticas corresp. Portalámparas 3 cuerpos)</v>
      </c>
      <c r="C60" s="246"/>
      <c r="D60" s="5">
        <f ca="1">SUMIF(CyP!A:A,PTyCI!A60,CyP!I:I)</f>
        <v>0</v>
      </c>
      <c r="E60" s="61"/>
      <c r="F60" s="482"/>
      <c r="G60" s="403"/>
      <c r="H60" s="403"/>
      <c r="I60" s="403"/>
      <c r="J60" s="403"/>
      <c r="K60" s="403"/>
      <c r="L60" s="403"/>
      <c r="M60" s="404"/>
      <c r="N60" s="404"/>
      <c r="O60" s="398"/>
      <c r="P60" s="398"/>
      <c r="Q60" s="398"/>
      <c r="R60" s="488">
        <f t="shared" si="7"/>
        <v>0</v>
      </c>
    </row>
    <row r="61" spans="1:18" ht="20.100000000000001" customHeight="1" x14ac:dyDescent="0.2">
      <c r="A61" s="244">
        <v>42</v>
      </c>
      <c r="B61" s="245" t="str">
        <f t="shared" si="8"/>
        <v>Terminación y limpieza de obra</v>
      </c>
      <c r="C61" s="246"/>
      <c r="D61" s="5">
        <f ca="1">SUMIF(CyP!A:A,PTyCI!A61,CyP!I:I)</f>
        <v>0</v>
      </c>
      <c r="E61" s="61"/>
      <c r="F61" s="482"/>
      <c r="G61" s="403"/>
      <c r="H61" s="403"/>
      <c r="I61" s="403"/>
      <c r="J61" s="403"/>
      <c r="K61" s="403"/>
      <c r="L61" s="403"/>
      <c r="M61" s="404"/>
      <c r="N61" s="404"/>
      <c r="O61" s="398"/>
      <c r="P61" s="398"/>
      <c r="Q61" s="398"/>
      <c r="R61" s="488">
        <f t="shared" si="7"/>
        <v>0</v>
      </c>
    </row>
    <row r="62" spans="1:18" ht="20.100000000000001" customHeight="1" x14ac:dyDescent="0.2">
      <c r="A62" s="244">
        <v>43</v>
      </c>
      <c r="B62" s="245" t="str">
        <f t="shared" si="8"/>
        <v>Flete</v>
      </c>
      <c r="C62" s="246"/>
      <c r="D62" s="5">
        <f ca="1">SUMIF(CyP!A:A,PTyCI!A62,CyP!I:I)</f>
        <v>0</v>
      </c>
      <c r="E62" s="61"/>
      <c r="F62" s="482"/>
      <c r="G62" s="403"/>
      <c r="H62" s="403"/>
      <c r="I62" s="403"/>
      <c r="J62" s="403"/>
      <c r="K62" s="403"/>
      <c r="L62" s="403"/>
      <c r="M62" s="404"/>
      <c r="N62" s="404"/>
      <c r="O62" s="398"/>
      <c r="P62" s="398"/>
      <c r="Q62" s="398"/>
      <c r="R62" s="488">
        <f t="shared" si="7"/>
        <v>0</v>
      </c>
    </row>
    <row r="63" spans="1:18" ht="20.100000000000001" customHeight="1" x14ac:dyDescent="0.2">
      <c r="A63" s="244" t="s">
        <v>1126</v>
      </c>
      <c r="B63" s="245" t="str">
        <f t="shared" si="8"/>
        <v>INFRAESTRUCTURA</v>
      </c>
      <c r="C63" s="246"/>
      <c r="D63" s="5">
        <f ca="1">SUMIF(CyP!A:A,PTyCI!A63,CyP!I:I)</f>
        <v>0</v>
      </c>
      <c r="E63" s="61"/>
      <c r="F63" s="517"/>
      <c r="G63" s="518"/>
      <c r="H63" s="518"/>
      <c r="I63" s="518"/>
      <c r="J63" s="518"/>
      <c r="K63" s="518"/>
      <c r="L63" s="518"/>
      <c r="M63" s="519"/>
      <c r="N63" s="519"/>
      <c r="O63" s="520"/>
      <c r="P63" s="520"/>
      <c r="Q63" s="520"/>
      <c r="R63" s="488">
        <f t="shared" si="7"/>
        <v>0</v>
      </c>
    </row>
    <row r="64" spans="1:18" ht="20.100000000000001" customHeight="1" x14ac:dyDescent="0.2">
      <c r="A64" s="244">
        <v>44</v>
      </c>
      <c r="B64" s="245" t="str">
        <f t="shared" ref="B64" si="9">IFERROR(VLOOKUP(A64,Tabla_Comp_Presup,2,FALSE),0)</f>
        <v xml:space="preserve">Limpieza de Terreno, destronques y erradicación de árboles </v>
      </c>
      <c r="C64" s="246"/>
      <c r="D64" s="5">
        <f ca="1">SUMIF(CyP!A:A,PTyCI!A64,CyP!I:I)</f>
        <v>0</v>
      </c>
      <c r="E64" s="61"/>
      <c r="F64" s="482"/>
      <c r="G64" s="403"/>
      <c r="H64" s="403"/>
      <c r="I64" s="403"/>
      <c r="J64" s="403"/>
      <c r="K64" s="403"/>
      <c r="L64" s="403"/>
      <c r="M64" s="404"/>
      <c r="N64" s="404"/>
      <c r="O64" s="398"/>
      <c r="P64" s="398"/>
      <c r="Q64" s="398"/>
      <c r="R64" s="488">
        <f t="shared" si="7"/>
        <v>0</v>
      </c>
    </row>
    <row r="65" spans="1:18" ht="20.100000000000001" customHeight="1" x14ac:dyDescent="0.2">
      <c r="A65" s="244">
        <v>45</v>
      </c>
      <c r="B65" s="245" t="str">
        <f t="shared" si="8"/>
        <v>Excavación no Clasificada</v>
      </c>
      <c r="C65" s="246"/>
      <c r="D65" s="5">
        <f ca="1">SUMIF(CyP!A:A,PTyCI!A65,CyP!I:I)</f>
        <v>0</v>
      </c>
      <c r="E65" s="61"/>
      <c r="F65" s="482"/>
      <c r="G65" s="403"/>
      <c r="H65" s="403"/>
      <c r="I65" s="403"/>
      <c r="J65" s="403"/>
      <c r="K65" s="403"/>
      <c r="L65" s="403"/>
      <c r="M65" s="404"/>
      <c r="N65" s="404"/>
      <c r="O65" s="398"/>
      <c r="P65" s="398"/>
      <c r="Q65" s="398"/>
      <c r="R65" s="488">
        <f t="shared" si="7"/>
        <v>0</v>
      </c>
    </row>
    <row r="66" spans="1:18" ht="20.100000000000001" customHeight="1" x14ac:dyDescent="0.2">
      <c r="A66" s="244">
        <v>46</v>
      </c>
      <c r="B66" s="245" t="str">
        <f t="shared" si="8"/>
        <v>Ejecución de base (0,25)</v>
      </c>
      <c r="C66" s="246"/>
      <c r="D66" s="5">
        <f ca="1">SUMIF(CyP!A:A,PTyCI!A66,CyP!I:I)</f>
        <v>0</v>
      </c>
      <c r="E66" s="61"/>
      <c r="F66" s="482"/>
      <c r="G66" s="403"/>
      <c r="H66" s="403"/>
      <c r="I66" s="403"/>
      <c r="J66" s="403"/>
      <c r="K66" s="403"/>
      <c r="L66" s="403"/>
      <c r="M66" s="404"/>
      <c r="N66" s="404"/>
      <c r="O66" s="398"/>
      <c r="P66" s="398"/>
      <c r="Q66" s="398"/>
      <c r="R66" s="488">
        <f t="shared" si="7"/>
        <v>0</v>
      </c>
    </row>
    <row r="67" spans="1:18" ht="20.100000000000001" customHeight="1" x14ac:dyDescent="0.2">
      <c r="A67" s="244">
        <v>47</v>
      </c>
      <c r="B67" s="245" t="str">
        <f t="shared" si="8"/>
        <v>Ejecución de cunetas en tierra</v>
      </c>
      <c r="C67" s="246"/>
      <c r="D67" s="5">
        <f ca="1">SUMIF(CyP!A:A,PTyCI!A67,CyP!I:I)</f>
        <v>0</v>
      </c>
      <c r="E67" s="61"/>
      <c r="F67" s="482"/>
      <c r="G67" s="403"/>
      <c r="H67" s="403"/>
      <c r="I67" s="403"/>
      <c r="J67" s="403"/>
      <c r="K67" s="403"/>
      <c r="L67" s="403"/>
      <c r="M67" s="404"/>
      <c r="N67" s="404"/>
      <c r="O67" s="398"/>
      <c r="P67" s="398"/>
      <c r="Q67" s="398"/>
      <c r="R67" s="488">
        <f t="shared" si="7"/>
        <v>0</v>
      </c>
    </row>
    <row r="68" spans="1:18" ht="20.100000000000001" customHeight="1" x14ac:dyDescent="0.2">
      <c r="A68" s="244">
        <v>48</v>
      </c>
      <c r="B68" s="245" t="str">
        <f t="shared" si="8"/>
        <v>Arbolado Público</v>
      </c>
      <c r="C68" s="246"/>
      <c r="D68" s="5">
        <f ca="1">SUMIF(CyP!A:A,PTyCI!A68,CyP!I:I)</f>
        <v>0</v>
      </c>
      <c r="E68" s="61"/>
      <c r="F68" s="482"/>
      <c r="G68" s="403"/>
      <c r="H68" s="403"/>
      <c r="I68" s="403"/>
      <c r="J68" s="403"/>
      <c r="K68" s="403"/>
      <c r="L68" s="403"/>
      <c r="M68" s="404"/>
      <c r="N68" s="404"/>
      <c r="O68" s="398"/>
      <c r="P68" s="398"/>
      <c r="Q68" s="398"/>
      <c r="R68" s="488">
        <f t="shared" si="7"/>
        <v>0</v>
      </c>
    </row>
    <row r="69" spans="1:18" ht="20.100000000000001" customHeight="1" x14ac:dyDescent="0.2">
      <c r="A69" s="244">
        <v>49</v>
      </c>
      <c r="B69" s="245" t="str">
        <f t="shared" si="8"/>
        <v>Ejecuciòn de Veredas Municipales</v>
      </c>
      <c r="C69" s="246"/>
      <c r="D69" s="5">
        <f ca="1">SUMIF(CyP!A:A,PTyCI!A69,CyP!I:I)</f>
        <v>0</v>
      </c>
      <c r="E69" s="61"/>
      <c r="F69" s="517"/>
      <c r="G69" s="518"/>
      <c r="H69" s="518"/>
      <c r="I69" s="518"/>
      <c r="J69" s="518"/>
      <c r="K69" s="518"/>
      <c r="L69" s="518"/>
      <c r="M69" s="519"/>
      <c r="N69" s="519"/>
      <c r="O69" s="520"/>
      <c r="P69" s="520"/>
      <c r="Q69" s="520"/>
      <c r="R69" s="488">
        <f t="shared" si="7"/>
        <v>0</v>
      </c>
    </row>
    <row r="70" spans="1:18" ht="20.100000000000001" customHeight="1" x14ac:dyDescent="0.2">
      <c r="A70" s="244">
        <v>50</v>
      </c>
      <c r="B70" s="245" t="str">
        <f t="shared" si="8"/>
        <v>Puentes Peatonales</v>
      </c>
      <c r="C70" s="246"/>
      <c r="D70" s="5">
        <f ca="1">SUMIF(CyP!A:A,PTyCI!A70,CyP!I:I)</f>
        <v>0</v>
      </c>
      <c r="E70" s="61"/>
      <c r="F70" s="482"/>
      <c r="G70" s="403"/>
      <c r="H70" s="403"/>
      <c r="I70" s="403"/>
      <c r="J70" s="403"/>
      <c r="K70" s="403"/>
      <c r="L70" s="403"/>
      <c r="M70" s="404"/>
      <c r="N70" s="404"/>
      <c r="O70" s="398"/>
      <c r="P70" s="398"/>
      <c r="Q70" s="398"/>
      <c r="R70" s="488">
        <f t="shared" si="7"/>
        <v>0</v>
      </c>
    </row>
    <row r="71" spans="1:18" ht="20.100000000000001" customHeight="1" x14ac:dyDescent="0.2">
      <c r="A71" s="244">
        <v>51</v>
      </c>
      <c r="B71" s="245" t="str">
        <f t="shared" si="8"/>
        <v>Puentes de acceso Vehicular</v>
      </c>
      <c r="C71" s="246"/>
      <c r="D71" s="5">
        <f ca="1">SUMIF(CyP!A:A,PTyCI!A71,CyP!I:I)</f>
        <v>0</v>
      </c>
      <c r="E71" s="61"/>
      <c r="F71" s="482"/>
      <c r="G71" s="403"/>
      <c r="H71" s="403"/>
      <c r="I71" s="403"/>
      <c r="J71" s="403"/>
      <c r="K71" s="403"/>
      <c r="L71" s="403"/>
      <c r="M71" s="404"/>
      <c r="N71" s="404"/>
      <c r="O71" s="398"/>
      <c r="P71" s="398"/>
      <c r="Q71" s="398"/>
      <c r="R71" s="488">
        <f t="shared" si="7"/>
        <v>0</v>
      </c>
    </row>
    <row r="72" spans="1:18" ht="20.100000000000001" customHeight="1" x14ac:dyDescent="0.2">
      <c r="A72" s="244">
        <v>52</v>
      </c>
      <c r="B72" s="245" t="str">
        <f t="shared" si="8"/>
        <v>Indicadores de Calles</v>
      </c>
      <c r="C72" s="246"/>
      <c r="D72" s="5">
        <f ca="1">SUMIF(CyP!A:A,PTyCI!A72,CyP!I:I)</f>
        <v>0</v>
      </c>
      <c r="E72" s="61"/>
      <c r="F72" s="482"/>
      <c r="G72" s="403"/>
      <c r="H72" s="403"/>
      <c r="I72" s="403"/>
      <c r="J72" s="403"/>
      <c r="K72" s="403"/>
      <c r="L72" s="403"/>
      <c r="M72" s="404"/>
      <c r="N72" s="404"/>
      <c r="O72" s="398"/>
      <c r="P72" s="398"/>
      <c r="Q72" s="398"/>
      <c r="R72" s="488">
        <f t="shared" si="7"/>
        <v>0</v>
      </c>
    </row>
    <row r="73" spans="1:18" ht="20.100000000000001" customHeight="1" x14ac:dyDescent="0.2">
      <c r="A73" s="244">
        <v>53</v>
      </c>
      <c r="B73" s="245" t="str">
        <f t="shared" si="8"/>
        <v>Vértices de Lotes</v>
      </c>
      <c r="C73" s="246"/>
      <c r="D73" s="5">
        <f ca="1">SUMIF(CyP!A:A,PTyCI!A73,CyP!I:I)</f>
        <v>0</v>
      </c>
      <c r="E73" s="61"/>
      <c r="F73" s="482"/>
      <c r="G73" s="403"/>
      <c r="H73" s="403"/>
      <c r="I73" s="403"/>
      <c r="J73" s="403"/>
      <c r="K73" s="403"/>
      <c r="L73" s="403"/>
      <c r="M73" s="404"/>
      <c r="N73" s="404"/>
      <c r="O73" s="398"/>
      <c r="P73" s="398"/>
      <c r="Q73" s="398"/>
      <c r="R73" s="488">
        <f t="shared" si="7"/>
        <v>0</v>
      </c>
    </row>
    <row r="74" spans="1:18" ht="20.100000000000001" customHeight="1" x14ac:dyDescent="0.2">
      <c r="A74" s="244">
        <v>54</v>
      </c>
      <c r="B74" s="245" t="str">
        <f t="shared" si="8"/>
        <v>Espacio Verde 2</v>
      </c>
      <c r="C74" s="246"/>
      <c r="D74" s="5">
        <f ca="1">SUMIF(CyP!A:A,PTyCI!A74,CyP!I:I)</f>
        <v>0</v>
      </c>
      <c r="E74" s="61"/>
      <c r="F74" s="482"/>
      <c r="G74" s="403"/>
      <c r="H74" s="403"/>
      <c r="I74" s="403"/>
      <c r="J74" s="403"/>
      <c r="K74" s="403"/>
      <c r="L74" s="403"/>
      <c r="M74" s="404"/>
      <c r="N74" s="404"/>
      <c r="O74" s="398"/>
      <c r="P74" s="398"/>
      <c r="Q74" s="398"/>
      <c r="R74" s="488">
        <f t="shared" si="7"/>
        <v>0</v>
      </c>
    </row>
    <row r="75" spans="1:18" ht="20.100000000000001" customHeight="1" x14ac:dyDescent="0.2">
      <c r="A75" s="244">
        <v>55</v>
      </c>
      <c r="B75" s="245" t="str">
        <f t="shared" si="8"/>
        <v>Alumbrado Público</v>
      </c>
      <c r="C75" s="246"/>
      <c r="D75" s="5">
        <f ca="1">SUMIF(CyP!A:A,PTyCI!A75,CyP!I:I)</f>
        <v>0</v>
      </c>
      <c r="E75" s="61"/>
      <c r="F75" s="482"/>
      <c r="G75" s="403"/>
      <c r="H75" s="403"/>
      <c r="I75" s="403"/>
      <c r="J75" s="403"/>
      <c r="K75" s="403"/>
      <c r="L75" s="403"/>
      <c r="M75" s="404"/>
      <c r="N75" s="404"/>
      <c r="O75" s="398"/>
      <c r="P75" s="398"/>
      <c r="Q75" s="398"/>
      <c r="R75" s="488">
        <f t="shared" si="7"/>
        <v>0</v>
      </c>
    </row>
    <row r="76" spans="1:18" ht="20.100000000000001" customHeight="1" x14ac:dyDescent="0.2">
      <c r="A76" s="244">
        <v>56</v>
      </c>
      <c r="B76" s="245" t="str">
        <f t="shared" si="8"/>
        <v>Alumbrado Espacio Verde 2</v>
      </c>
      <c r="C76" s="246"/>
      <c r="D76" s="5">
        <f ca="1">SUMIF(CyP!A:A,PTyCI!A76,CyP!I:I)</f>
        <v>0</v>
      </c>
      <c r="E76" s="61"/>
      <c r="F76" s="482"/>
      <c r="G76" s="403"/>
      <c r="H76" s="403"/>
      <c r="I76" s="403"/>
      <c r="J76" s="403"/>
      <c r="K76" s="403"/>
      <c r="L76" s="403"/>
      <c r="M76" s="404"/>
      <c r="N76" s="404"/>
      <c r="O76" s="398"/>
      <c r="P76" s="398"/>
      <c r="Q76" s="398"/>
      <c r="R76" s="488">
        <f t="shared" si="7"/>
        <v>0</v>
      </c>
    </row>
    <row r="77" spans="1:18" ht="20.100000000000001" customHeight="1" x14ac:dyDescent="0.2">
      <c r="A77" s="244">
        <v>57</v>
      </c>
      <c r="B77" s="245" t="str">
        <f t="shared" si="8"/>
        <v>Red de cloacas - Provisión, acarreo y colocación de caño de PVC RCP ø160 mm, incl. piezas esp. juntas, etc.</v>
      </c>
      <c r="C77" s="246"/>
      <c r="D77" s="5">
        <f ca="1">SUMIF(CyP!A:A,PTyCI!A77,CyP!I:I)</f>
        <v>0</v>
      </c>
      <c r="E77" s="61"/>
      <c r="F77" s="482"/>
      <c r="G77" s="403"/>
      <c r="H77" s="403"/>
      <c r="I77" s="403"/>
      <c r="J77" s="403"/>
      <c r="K77" s="403"/>
      <c r="L77" s="403"/>
      <c r="M77" s="404"/>
      <c r="N77" s="404"/>
      <c r="O77" s="398"/>
      <c r="P77" s="398"/>
      <c r="Q77" s="398"/>
      <c r="R77" s="488">
        <f t="shared" si="7"/>
        <v>0</v>
      </c>
    </row>
    <row r="78" spans="1:18" ht="20.100000000000001" customHeight="1" x14ac:dyDescent="0.2">
      <c r="A78" s="244">
        <v>58</v>
      </c>
      <c r="B78" s="245" t="str">
        <f t="shared" si="8"/>
        <v xml:space="preserve">Red de cloacas - Provisión, acarreo y coloc. materiales  p/la ejecución de Bocas de Registros s/calle, incl. tapa de HF, etc. </v>
      </c>
      <c r="C78" s="246"/>
      <c r="D78" s="5">
        <f ca="1">SUMIF(CyP!A:A,PTyCI!A78,CyP!I:I)</f>
        <v>0</v>
      </c>
      <c r="E78" s="61"/>
      <c r="F78" s="482"/>
      <c r="G78" s="403"/>
      <c r="H78" s="403"/>
      <c r="I78" s="403"/>
      <c r="J78" s="403"/>
      <c r="K78" s="403"/>
      <c r="L78" s="403"/>
      <c r="M78" s="404"/>
      <c r="N78" s="404"/>
      <c r="O78" s="398"/>
      <c r="P78" s="398"/>
      <c r="Q78" s="398"/>
      <c r="R78" s="488">
        <f t="shared" si="7"/>
        <v>0</v>
      </c>
    </row>
    <row r="79" spans="1:18" ht="20.100000000000001" customHeight="1" x14ac:dyDescent="0.2">
      <c r="A79" s="244">
        <v>59</v>
      </c>
      <c r="B79" s="245" t="str">
        <f t="shared" si="8"/>
        <v>Red de cloacas - Excavación de zanjas para inst. cañeías, sin depresión de napa</v>
      </c>
      <c r="C79" s="246"/>
      <c r="D79" s="5">
        <f ca="1">SUMIF(CyP!A:A,PTyCI!A79,CyP!I:I)</f>
        <v>0</v>
      </c>
      <c r="E79" s="61"/>
      <c r="F79" s="482"/>
      <c r="G79" s="403"/>
      <c r="H79" s="403"/>
      <c r="I79" s="403"/>
      <c r="J79" s="403"/>
      <c r="K79" s="403"/>
      <c r="L79" s="403"/>
      <c r="M79" s="404"/>
      <c r="N79" s="404"/>
      <c r="O79" s="398"/>
      <c r="P79" s="398"/>
      <c r="Q79" s="398"/>
      <c r="R79" s="488">
        <f t="shared" si="7"/>
        <v>0</v>
      </c>
    </row>
    <row r="80" spans="1:18" ht="20.100000000000001" customHeight="1" x14ac:dyDescent="0.2">
      <c r="A80" s="244">
        <v>60</v>
      </c>
      <c r="B80" s="245" t="str">
        <f t="shared" si="8"/>
        <v>Red de cloacas - Paquete estructural</v>
      </c>
      <c r="C80" s="246"/>
      <c r="D80" s="5">
        <f ca="1">SUMIF(CyP!A:A,PTyCI!A80,CyP!I:I)</f>
        <v>0</v>
      </c>
      <c r="E80" s="61"/>
      <c r="F80" s="482"/>
      <c r="G80" s="403"/>
      <c r="H80" s="403"/>
      <c r="I80" s="403"/>
      <c r="J80" s="403"/>
      <c r="K80" s="403"/>
      <c r="L80" s="403"/>
      <c r="M80" s="404"/>
      <c r="N80" s="404"/>
      <c r="O80" s="398"/>
      <c r="P80" s="398"/>
      <c r="Q80" s="398"/>
      <c r="R80" s="488">
        <f t="shared" si="7"/>
        <v>0</v>
      </c>
    </row>
    <row r="81" spans="1:18" ht="20.100000000000001" customHeight="1" x14ac:dyDescent="0.2">
      <c r="A81" s="244">
        <v>61</v>
      </c>
      <c r="B81" s="245" t="str">
        <f t="shared" si="8"/>
        <v>Red de cloacas - Relleno superior</v>
      </c>
      <c r="C81" s="246"/>
      <c r="D81" s="5">
        <f ca="1">SUMIF(CyP!A:A,PTyCI!A81,CyP!I:I)</f>
        <v>0</v>
      </c>
      <c r="E81" s="61"/>
      <c r="F81" s="482"/>
      <c r="G81" s="403"/>
      <c r="H81" s="403"/>
      <c r="I81" s="403"/>
      <c r="J81" s="403"/>
      <c r="K81" s="403"/>
      <c r="L81" s="403"/>
      <c r="M81" s="404"/>
      <c r="N81" s="404"/>
      <c r="O81" s="398"/>
      <c r="P81" s="398"/>
      <c r="Q81" s="398"/>
      <c r="R81" s="488">
        <f t="shared" si="7"/>
        <v>0</v>
      </c>
    </row>
    <row r="82" spans="1:18" ht="20.100000000000001" customHeight="1" x14ac:dyDescent="0.2">
      <c r="A82" s="244">
        <v>62</v>
      </c>
      <c r="B82" s="245" t="str">
        <f t="shared" si="8"/>
        <v>Red de cloacas - Conexiones domiciliarias cloacas (Provisión, acarreo y coloc. materiales p/la ejecución s/red nueva)</v>
      </c>
      <c r="C82" s="246"/>
      <c r="D82" s="5">
        <f ca="1">SUMIF(CyP!A:A,PTyCI!A82,CyP!I:I)</f>
        <v>0</v>
      </c>
      <c r="E82" s="61"/>
      <c r="F82" s="482"/>
      <c r="G82" s="403"/>
      <c r="H82" s="403"/>
      <c r="I82" s="403"/>
      <c r="J82" s="403"/>
      <c r="K82" s="403"/>
      <c r="L82" s="403"/>
      <c r="M82" s="404"/>
      <c r="N82" s="404"/>
      <c r="O82" s="398"/>
      <c r="P82" s="398"/>
      <c r="Q82" s="398"/>
      <c r="R82" s="488">
        <f t="shared" si="7"/>
        <v>0</v>
      </c>
    </row>
    <row r="83" spans="1:18" ht="20.100000000000001" customHeight="1" x14ac:dyDescent="0.2">
      <c r="A83" s="244">
        <v>63</v>
      </c>
      <c r="B83" s="245" t="str">
        <f t="shared" ref="B83:B91" si="10">IFERROR(VLOOKUP(A83,Tabla_Comp_Presup,2,FALSE),0)</f>
        <v>Red de agua potable - Provisión, acarreo y colocación de caño recto Ø110mm de PVC k-10, incl. piezas esp. juntas, etc.</v>
      </c>
      <c r="C83" s="246"/>
      <c r="D83" s="5">
        <f ca="1">SUMIF(CyP!A:A,PTyCI!A83,CyP!I:I)</f>
        <v>0</v>
      </c>
      <c r="E83" s="61"/>
      <c r="F83" s="482"/>
      <c r="G83" s="403"/>
      <c r="H83" s="403"/>
      <c r="I83" s="403"/>
      <c r="J83" s="403"/>
      <c r="K83" s="403"/>
      <c r="L83" s="403"/>
      <c r="M83" s="404"/>
      <c r="N83" s="404"/>
      <c r="O83" s="398"/>
      <c r="P83" s="398"/>
      <c r="Q83" s="398"/>
      <c r="R83" s="488">
        <f t="shared" si="7"/>
        <v>0</v>
      </c>
    </row>
    <row r="84" spans="1:18" ht="20.100000000000001" customHeight="1" x14ac:dyDescent="0.2">
      <c r="A84" s="244">
        <v>64</v>
      </c>
      <c r="B84" s="245" t="str">
        <f t="shared" si="10"/>
        <v>Red de agua potable - Provisión, acarreo y colocación de hidrantes a bola, completos, (Incluye caja de HF y Const. de cámara)</v>
      </c>
      <c r="C84" s="246"/>
      <c r="D84" s="5">
        <f ca="1">SUMIF(CyP!A:A,PTyCI!A84,CyP!I:I)</f>
        <v>0</v>
      </c>
      <c r="E84" s="61"/>
      <c r="F84" s="482"/>
      <c r="G84" s="403"/>
      <c r="H84" s="403"/>
      <c r="I84" s="403"/>
      <c r="J84" s="403"/>
      <c r="K84" s="403"/>
      <c r="L84" s="403"/>
      <c r="M84" s="404"/>
      <c r="N84" s="404"/>
      <c r="O84" s="398"/>
      <c r="P84" s="398"/>
      <c r="Q84" s="398"/>
      <c r="R84" s="488">
        <f t="shared" si="7"/>
        <v>0</v>
      </c>
    </row>
    <row r="85" spans="1:18" ht="20.100000000000001" customHeight="1" x14ac:dyDescent="0.2">
      <c r="A85" s="244">
        <v>65</v>
      </c>
      <c r="B85" s="245" t="str">
        <f t="shared" si="10"/>
        <v>Red de agua potable - Excavación de zanjas para inst. cañeías, sin depresión de napa</v>
      </c>
      <c r="C85" s="246"/>
      <c r="D85" s="5">
        <f ca="1">SUMIF(CyP!A:A,PTyCI!A85,CyP!I:I)</f>
        <v>0</v>
      </c>
      <c r="E85" s="61"/>
      <c r="F85" s="482"/>
      <c r="G85" s="403"/>
      <c r="H85" s="403"/>
      <c r="I85" s="403"/>
      <c r="J85" s="403"/>
      <c r="K85" s="403"/>
      <c r="L85" s="403"/>
      <c r="M85" s="404"/>
      <c r="N85" s="404"/>
      <c r="O85" s="398"/>
      <c r="P85" s="398"/>
      <c r="Q85" s="398"/>
      <c r="R85" s="488">
        <f t="shared" ref="R85:R91" si="11">SUM(F85:Q85)</f>
        <v>0</v>
      </c>
    </row>
    <row r="86" spans="1:18" ht="20.100000000000001" customHeight="1" x14ac:dyDescent="0.2">
      <c r="A86" s="244">
        <v>66</v>
      </c>
      <c r="B86" s="245" t="str">
        <f t="shared" si="10"/>
        <v>Red de agua potable - Paquete estructural</v>
      </c>
      <c r="C86" s="246"/>
      <c r="D86" s="5">
        <f ca="1">SUMIF(CyP!A:A,PTyCI!A86,CyP!I:I)</f>
        <v>0</v>
      </c>
      <c r="E86" s="61"/>
      <c r="F86" s="482"/>
      <c r="G86" s="403"/>
      <c r="H86" s="403"/>
      <c r="I86" s="403"/>
      <c r="J86" s="403"/>
      <c r="K86" s="403"/>
      <c r="L86" s="403"/>
      <c r="M86" s="404"/>
      <c r="N86" s="404"/>
      <c r="O86" s="398"/>
      <c r="P86" s="398"/>
      <c r="Q86" s="398"/>
      <c r="R86" s="488">
        <f t="shared" si="11"/>
        <v>0</v>
      </c>
    </row>
    <row r="87" spans="1:18" ht="20.100000000000001" customHeight="1" x14ac:dyDescent="0.2">
      <c r="A87" s="244">
        <v>67</v>
      </c>
      <c r="B87" s="245" t="str">
        <f t="shared" si="10"/>
        <v xml:space="preserve">Red de agua potable - Relleno superior </v>
      </c>
      <c r="C87" s="246"/>
      <c r="D87" s="5">
        <f ca="1">SUMIF(CyP!A:A,PTyCI!A87,CyP!I:I)</f>
        <v>0</v>
      </c>
      <c r="E87" s="61"/>
      <c r="F87" s="482"/>
      <c r="G87" s="403"/>
      <c r="H87" s="403"/>
      <c r="I87" s="403"/>
      <c r="J87" s="403"/>
      <c r="K87" s="403"/>
      <c r="L87" s="403"/>
      <c r="M87" s="404"/>
      <c r="N87" s="404"/>
      <c r="O87" s="398"/>
      <c r="P87" s="398"/>
      <c r="Q87" s="398"/>
      <c r="R87" s="488">
        <f t="shared" si="11"/>
        <v>0</v>
      </c>
    </row>
    <row r="88" spans="1:18" ht="20.100000000000001" customHeight="1" x14ac:dyDescent="0.2">
      <c r="A88" s="244">
        <v>68</v>
      </c>
      <c r="B88" s="245" t="str">
        <f t="shared" si="10"/>
        <v>Red de agua potable - Conexiones domiciliarias agua potable (Provisión, acarreo y coloc. mat. polietileno k10-abrazadera, férula, llave maestra y medidor de caudal, incl UV)</v>
      </c>
      <c r="C88" s="246"/>
      <c r="D88" s="5">
        <f ca="1">SUMIF(CyP!A:A,PTyCI!A88,CyP!I:I)</f>
        <v>0</v>
      </c>
      <c r="E88" s="61"/>
      <c r="F88" s="482"/>
      <c r="G88" s="403"/>
      <c r="H88" s="403"/>
      <c r="I88" s="403"/>
      <c r="J88" s="403"/>
      <c r="K88" s="403"/>
      <c r="L88" s="403"/>
      <c r="M88" s="404"/>
      <c r="N88" s="404"/>
      <c r="O88" s="398"/>
      <c r="P88" s="398"/>
      <c r="Q88" s="398"/>
      <c r="R88" s="488">
        <f t="shared" si="11"/>
        <v>0</v>
      </c>
    </row>
    <row r="89" spans="1:18" ht="20.100000000000001" customHeight="1" x14ac:dyDescent="0.2">
      <c r="A89" s="244">
        <v>69</v>
      </c>
      <c r="B89" s="245" t="str">
        <f t="shared" si="10"/>
        <v>Documentación final de obra (minimo 3% Monto Total de la Obra)</v>
      </c>
      <c r="C89" s="246"/>
      <c r="D89" s="5">
        <f ca="1">SUMIF(CyP!A:A,PTyCI!A89,CyP!I:I)</f>
        <v>0</v>
      </c>
      <c r="E89" s="61"/>
      <c r="F89" s="482"/>
      <c r="G89" s="403"/>
      <c r="H89" s="403"/>
      <c r="I89" s="403"/>
      <c r="J89" s="403"/>
      <c r="K89" s="403"/>
      <c r="L89" s="403"/>
      <c r="M89" s="404"/>
      <c r="N89" s="404"/>
      <c r="O89" s="398"/>
      <c r="P89" s="398"/>
      <c r="Q89" s="398"/>
      <c r="R89" s="488">
        <f t="shared" si="11"/>
        <v>0</v>
      </c>
    </row>
    <row r="90" spans="1:18" ht="20.100000000000001" customHeight="1" x14ac:dyDescent="0.2">
      <c r="A90" s="244" t="s">
        <v>1315</v>
      </c>
      <c r="B90" s="245" t="str">
        <f t="shared" si="10"/>
        <v>OBRAS COMPLEMENTARIAS</v>
      </c>
      <c r="C90" s="246"/>
      <c r="D90" s="5">
        <f ca="1">SUMIF(CyP!A:A,PTyCI!A90,CyP!I:I)</f>
        <v>0</v>
      </c>
      <c r="E90" s="61"/>
      <c r="F90" s="517"/>
      <c r="G90" s="518"/>
      <c r="H90" s="518"/>
      <c r="I90" s="518"/>
      <c r="J90" s="518"/>
      <c r="K90" s="518"/>
      <c r="L90" s="518"/>
      <c r="M90" s="519"/>
      <c r="N90" s="519"/>
      <c r="O90" s="520"/>
      <c r="P90" s="520"/>
      <c r="Q90" s="520"/>
      <c r="R90" s="488">
        <f t="shared" si="11"/>
        <v>0</v>
      </c>
    </row>
    <row r="91" spans="1:18" ht="20.100000000000001" customHeight="1" x14ac:dyDescent="0.2">
      <c r="A91" s="244">
        <v>70</v>
      </c>
      <c r="B91" s="245" t="str">
        <f t="shared" si="10"/>
        <v>Obras Complementarias - Cierre Perimetral</v>
      </c>
      <c r="C91" s="246"/>
      <c r="D91" s="5">
        <f ca="1">SUMIF(CyP!A:A,PTyCI!A91,CyP!I:I)</f>
        <v>0</v>
      </c>
      <c r="E91" s="61"/>
      <c r="F91" s="517"/>
      <c r="G91" s="518"/>
      <c r="H91" s="518"/>
      <c r="I91" s="518"/>
      <c r="J91" s="518"/>
      <c r="K91" s="518"/>
      <c r="L91" s="518"/>
      <c r="M91" s="519"/>
      <c r="N91" s="519"/>
      <c r="O91" s="520"/>
      <c r="P91" s="520"/>
      <c r="Q91" s="520"/>
      <c r="R91" s="488">
        <f t="shared" si="11"/>
        <v>0</v>
      </c>
    </row>
    <row r="92" spans="1:18" ht="20.100000000000001" customHeight="1" x14ac:dyDescent="0.2">
      <c r="B92" s="486"/>
      <c r="C92" s="486"/>
      <c r="D92" s="510">
        <f ca="1">SUM(D18:D91)</f>
        <v>0</v>
      </c>
      <c r="E92" s="498"/>
      <c r="F92" s="499"/>
      <c r="G92" s="499"/>
      <c r="H92" s="499"/>
      <c r="I92" s="499"/>
      <c r="J92" s="499"/>
      <c r="K92" s="499"/>
      <c r="L92" s="499"/>
      <c r="M92" s="499"/>
      <c r="N92" s="499"/>
      <c r="O92" s="499"/>
      <c r="P92" s="499"/>
      <c r="Q92" s="499"/>
      <c r="R92" s="500"/>
    </row>
    <row r="93" spans="1:18" ht="20.100000000000001" customHeight="1" x14ac:dyDescent="0.2">
      <c r="B93" s="486"/>
      <c r="C93" s="486"/>
      <c r="D93" s="501" t="s">
        <v>17</v>
      </c>
      <c r="E93" s="498">
        <v>0</v>
      </c>
      <c r="F93" s="502">
        <f t="shared" ref="F93:Q93" ca="1" si="12">SUMPRODUCT($D$18:$D$91,F18:F91)</f>
        <v>0</v>
      </c>
      <c r="G93" s="502">
        <f t="shared" ca="1" si="12"/>
        <v>0</v>
      </c>
      <c r="H93" s="502">
        <f t="shared" ca="1" si="12"/>
        <v>0</v>
      </c>
      <c r="I93" s="502">
        <f t="shared" ca="1" si="12"/>
        <v>0</v>
      </c>
      <c r="J93" s="502">
        <f t="shared" ca="1" si="12"/>
        <v>0</v>
      </c>
      <c r="K93" s="502">
        <f t="shared" ca="1" si="12"/>
        <v>0</v>
      </c>
      <c r="L93" s="502">
        <f t="shared" ca="1" si="12"/>
        <v>0</v>
      </c>
      <c r="M93" s="502">
        <f t="shared" ca="1" si="12"/>
        <v>0</v>
      </c>
      <c r="N93" s="502">
        <f t="shared" ca="1" si="12"/>
        <v>0</v>
      </c>
      <c r="O93" s="502">
        <f t="shared" ca="1" si="12"/>
        <v>0</v>
      </c>
      <c r="P93" s="502">
        <f t="shared" ca="1" si="12"/>
        <v>0</v>
      </c>
      <c r="Q93" s="502">
        <f t="shared" ca="1" si="12"/>
        <v>0</v>
      </c>
      <c r="R93" s="500"/>
    </row>
    <row r="94" spans="1:18" ht="20.100000000000001" customHeight="1" x14ac:dyDescent="0.2">
      <c r="B94" s="486"/>
      <c r="C94" s="486"/>
      <c r="D94" s="501" t="s">
        <v>18</v>
      </c>
      <c r="E94" s="503">
        <v>0</v>
      </c>
      <c r="F94" s="502">
        <f ca="1">E94+F93</f>
        <v>0</v>
      </c>
      <c r="G94" s="502">
        <f t="shared" ref="G94:N94" ca="1" si="13">F94+G93</f>
        <v>0</v>
      </c>
      <c r="H94" s="502">
        <f t="shared" ca="1" si="13"/>
        <v>0</v>
      </c>
      <c r="I94" s="502">
        <f t="shared" ca="1" si="13"/>
        <v>0</v>
      </c>
      <c r="J94" s="502">
        <f t="shared" ca="1" si="13"/>
        <v>0</v>
      </c>
      <c r="K94" s="502">
        <f t="shared" ca="1" si="13"/>
        <v>0</v>
      </c>
      <c r="L94" s="502">
        <f t="shared" ca="1" si="13"/>
        <v>0</v>
      </c>
      <c r="M94" s="502">
        <f t="shared" ca="1" si="13"/>
        <v>0</v>
      </c>
      <c r="N94" s="502">
        <f t="shared" ca="1" si="13"/>
        <v>0</v>
      </c>
      <c r="O94" s="502">
        <f ca="1">+O93+N94</f>
        <v>0</v>
      </c>
      <c r="P94" s="502">
        <f ca="1">+P93+O94</f>
        <v>0</v>
      </c>
      <c r="Q94" s="502">
        <f ca="1">+Q93+P94</f>
        <v>0</v>
      </c>
      <c r="R94" s="500"/>
    </row>
    <row r="95" spans="1:18" ht="20.100000000000001" customHeight="1" x14ac:dyDescent="0.2">
      <c r="B95" s="486"/>
      <c r="C95" s="486"/>
      <c r="D95" s="504"/>
      <c r="E95" s="505" t="s">
        <v>1120</v>
      </c>
      <c r="F95" s="486"/>
      <c r="G95" s="486"/>
      <c r="H95" s="486"/>
      <c r="I95" s="486"/>
      <c r="J95" s="486"/>
      <c r="K95" s="486"/>
      <c r="L95" s="486"/>
      <c r="M95" s="486"/>
      <c r="N95" s="486"/>
      <c r="O95" s="486"/>
      <c r="P95" s="486"/>
      <c r="Q95" s="486"/>
      <c r="R95" s="506"/>
    </row>
    <row r="96" spans="1:18" ht="20.100000000000001" customHeight="1" x14ac:dyDescent="0.2">
      <c r="B96" s="486"/>
      <c r="C96" s="486"/>
      <c r="D96" s="501" t="s">
        <v>19</v>
      </c>
      <c r="E96" s="507">
        <f ca="1">ROUND(Monto_Oferta*Anticipo_Financiero,32)</f>
        <v>0</v>
      </c>
      <c r="F96" s="507">
        <f ca="1">ROUND(F93*Monto_Oferta*(1-Anticipo_Financiero),3)</f>
        <v>0</v>
      </c>
      <c r="G96" s="507">
        <f ca="1">ROUND(G93*Monto_Oferta*(1-Anticipo_Financiero),3)</f>
        <v>0</v>
      </c>
      <c r="H96" s="507">
        <f t="shared" ref="H96:Q96" ca="1" si="14">ROUND(H93*Monto_Oferta*(1-Anticipo_Financiero),3)</f>
        <v>0</v>
      </c>
      <c r="I96" s="507">
        <f t="shared" ca="1" si="14"/>
        <v>0</v>
      </c>
      <c r="J96" s="507">
        <f t="shared" ca="1" si="14"/>
        <v>0</v>
      </c>
      <c r="K96" s="507">
        <f t="shared" ca="1" si="14"/>
        <v>0</v>
      </c>
      <c r="L96" s="507">
        <f t="shared" ca="1" si="14"/>
        <v>0</v>
      </c>
      <c r="M96" s="507">
        <f t="shared" ca="1" si="14"/>
        <v>0</v>
      </c>
      <c r="N96" s="507">
        <f ca="1">ROUND(N93*Monto_Oferta*(1-Anticipo_Financiero),3)</f>
        <v>0</v>
      </c>
      <c r="O96" s="507">
        <f t="shared" ca="1" si="14"/>
        <v>0</v>
      </c>
      <c r="P96" s="507">
        <f t="shared" ca="1" si="14"/>
        <v>0</v>
      </c>
      <c r="Q96" s="507">
        <f t="shared" ca="1" si="14"/>
        <v>0</v>
      </c>
      <c r="R96" s="507"/>
    </row>
    <row r="97" spans="1:18" ht="20.100000000000001" customHeight="1" x14ac:dyDescent="0.2">
      <c r="B97" s="486"/>
      <c r="C97" s="486"/>
      <c r="D97" s="501" t="s">
        <v>1101</v>
      </c>
      <c r="E97" s="507">
        <f ca="1">+E96</f>
        <v>0</v>
      </c>
      <c r="F97" s="507">
        <f ca="1">+F96+E97</f>
        <v>0</v>
      </c>
      <c r="G97" s="507">
        <f t="shared" ref="G97:N97" ca="1" si="15">+G96+F97</f>
        <v>0</v>
      </c>
      <c r="H97" s="507">
        <f t="shared" ca="1" si="15"/>
        <v>0</v>
      </c>
      <c r="I97" s="507">
        <f t="shared" ca="1" si="15"/>
        <v>0</v>
      </c>
      <c r="J97" s="507">
        <f t="shared" ca="1" si="15"/>
        <v>0</v>
      </c>
      <c r="K97" s="507">
        <f t="shared" ca="1" si="15"/>
        <v>0</v>
      </c>
      <c r="L97" s="507">
        <f t="shared" ca="1" si="15"/>
        <v>0</v>
      </c>
      <c r="M97" s="507">
        <f t="shared" ca="1" si="15"/>
        <v>0</v>
      </c>
      <c r="N97" s="507">
        <f t="shared" ca="1" si="15"/>
        <v>0</v>
      </c>
      <c r="O97" s="507">
        <f ca="1">+O96+N97</f>
        <v>0</v>
      </c>
      <c r="P97" s="507">
        <f ca="1">+P96+O97</f>
        <v>0</v>
      </c>
      <c r="Q97" s="507">
        <f ca="1">+Q96+P97</f>
        <v>0</v>
      </c>
      <c r="R97" s="508"/>
    </row>
    <row r="98" spans="1:18" ht="20.100000000000001" customHeight="1" x14ac:dyDescent="0.2">
      <c r="A98" s="62" t="s">
        <v>1119</v>
      </c>
      <c r="B98" s="486"/>
      <c r="C98" s="486"/>
      <c r="D98" s="486"/>
      <c r="E98" s="505">
        <v>0</v>
      </c>
      <c r="F98" s="486"/>
      <c r="G98" s="486"/>
      <c r="H98" s="486"/>
      <c r="I98" s="486"/>
      <c r="J98" s="486"/>
      <c r="K98" s="486"/>
      <c r="L98" s="486"/>
      <c r="M98" s="486"/>
      <c r="N98" s="486"/>
      <c r="O98" s="486"/>
      <c r="P98" s="486"/>
      <c r="Q98" s="486"/>
      <c r="R98" s="506"/>
    </row>
    <row r="99" spans="1:18" ht="20.100000000000001" customHeight="1" x14ac:dyDescent="0.2">
      <c r="B99" s="486"/>
      <c r="C99" s="486"/>
      <c r="D99" s="501" t="s">
        <v>1276</v>
      </c>
      <c r="E99" s="509">
        <v>0</v>
      </c>
      <c r="F99" s="510">
        <v>5.8299999999999998E-2</v>
      </c>
      <c r="G99" s="510">
        <v>0.15</v>
      </c>
      <c r="H99" s="510">
        <v>0.26</v>
      </c>
      <c r="I99" s="510">
        <v>0.38</v>
      </c>
      <c r="J99" s="510">
        <v>0.50509999999999999</v>
      </c>
      <c r="K99" s="510">
        <v>0.63</v>
      </c>
      <c r="L99" s="510">
        <v>0.74660000000000004</v>
      </c>
      <c r="M99" s="510">
        <v>0.82340000000000002</v>
      </c>
      <c r="N99" s="510">
        <v>0.9</v>
      </c>
      <c r="O99" s="510">
        <v>0.94669999999999999</v>
      </c>
      <c r="P99" s="510">
        <v>0.98329999999999995</v>
      </c>
      <c r="Q99" s="510">
        <v>1</v>
      </c>
      <c r="R99" s="506"/>
    </row>
    <row r="100" spans="1:18" ht="20.100000000000001" customHeight="1" x14ac:dyDescent="0.2">
      <c r="B100" s="486"/>
      <c r="C100" s="486"/>
      <c r="D100" s="501" t="s">
        <v>1277</v>
      </c>
      <c r="E100" s="509">
        <v>0</v>
      </c>
      <c r="F100" s="510">
        <v>1.2500000000000001E-2</v>
      </c>
      <c r="G100" s="510">
        <v>5.5E-2</v>
      </c>
      <c r="H100" s="510">
        <v>0.115</v>
      </c>
      <c r="I100" s="510">
        <v>0.2</v>
      </c>
      <c r="J100" s="510">
        <v>0.3</v>
      </c>
      <c r="K100" s="510">
        <v>0.4</v>
      </c>
      <c r="L100" s="510">
        <v>0.5</v>
      </c>
      <c r="M100" s="510">
        <v>0.60670000000000002</v>
      </c>
      <c r="N100" s="510">
        <v>0.72</v>
      </c>
      <c r="O100" s="510">
        <v>0.83330000000000004</v>
      </c>
      <c r="P100" s="510">
        <v>0.93340000000000001</v>
      </c>
      <c r="Q100" s="510">
        <v>1</v>
      </c>
      <c r="R100" s="506"/>
    </row>
    <row r="101" spans="1:18" ht="20.100000000000001" customHeight="1" x14ac:dyDescent="0.2">
      <c r="B101" s="486"/>
      <c r="C101" s="486"/>
      <c r="D101" s="486"/>
      <c r="E101" s="503"/>
      <c r="F101" s="486"/>
      <c r="G101" s="486"/>
      <c r="H101" s="486"/>
      <c r="I101" s="486"/>
      <c r="J101" s="486"/>
      <c r="K101" s="486"/>
      <c r="L101" s="486"/>
      <c r="M101" s="486"/>
      <c r="N101" s="486"/>
      <c r="O101" s="486"/>
      <c r="P101" s="486"/>
      <c r="Q101" s="486"/>
      <c r="R101" s="506"/>
    </row>
    <row r="104" spans="1:18" ht="20.100000000000001" customHeight="1" x14ac:dyDescent="0.2">
      <c r="F104" s="479"/>
      <c r="G104" s="479"/>
      <c r="H104" s="479"/>
      <c r="I104" s="479"/>
      <c r="J104" s="479"/>
      <c r="K104" s="479"/>
      <c r="L104" s="479"/>
      <c r="M104" s="479"/>
      <c r="N104" s="479"/>
      <c r="O104" s="479"/>
      <c r="P104" s="479"/>
      <c r="Q104" s="479"/>
    </row>
    <row r="105" spans="1:18" ht="20.100000000000001" customHeight="1" x14ac:dyDescent="0.2">
      <c r="F105" s="479"/>
      <c r="G105" s="479"/>
      <c r="H105" s="479"/>
      <c r="I105" s="479"/>
      <c r="J105" s="479"/>
      <c r="K105" s="479"/>
      <c r="L105" s="479"/>
      <c r="M105" s="479"/>
      <c r="N105" s="479"/>
      <c r="O105" s="479"/>
      <c r="P105" s="479"/>
      <c r="Q105" s="479"/>
    </row>
  </sheetData>
  <mergeCells count="6">
    <mergeCell ref="A12:D12"/>
    <mergeCell ref="R14:R15"/>
    <mergeCell ref="A14:A15"/>
    <mergeCell ref="B14:C15"/>
    <mergeCell ref="D14:D15"/>
    <mergeCell ref="F14:Q14"/>
  </mergeCells>
  <conditionalFormatting sqref="A17:C91">
    <cfRule type="expression" dxfId="97" priority="2">
      <formula>$D17=0</formula>
    </cfRule>
  </conditionalFormatting>
  <printOptions horizontalCentered="1"/>
  <pageMargins left="0.59055118110236227" right="0" top="1.1811023622047245" bottom="0.39370078740157483" header="0.59055118110236227" footer="0.19685039370078741"/>
  <pageSetup paperSize="8" scale="38" fitToHeight="0" pageOrder="overThenDown" orientation="portrait" r:id="rId1"/>
  <headerFooter>
    <oddHeader>&amp;C&amp;G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3">
    <tabColor rgb="FFFF0000"/>
  </sheetPr>
  <dimension ref="A1:G50"/>
  <sheetViews>
    <sheetView showGridLines="0" zoomScale="130" zoomScaleNormal="130" workbookViewId="0">
      <selection activeCell="F3" sqref="F3"/>
    </sheetView>
  </sheetViews>
  <sheetFormatPr baseColWidth="10" defaultColWidth="11.42578125" defaultRowHeight="20.100000000000001" customHeight="1" x14ac:dyDescent="0.2"/>
  <cols>
    <col min="1" max="1" width="15.7109375" style="228" customWidth="1"/>
    <col min="2" max="2" width="20.7109375" style="228" customWidth="1"/>
    <col min="3" max="3" width="43.7109375" style="228" customWidth="1"/>
    <col min="4" max="4" width="10.7109375" style="227" customWidth="1"/>
    <col min="5" max="5" width="12.7109375" style="227" customWidth="1"/>
    <col min="6" max="7" width="15.7109375" style="229" customWidth="1"/>
    <col min="8" max="8" width="11.42578125" style="122"/>
    <col min="9" max="9" width="12.28515625" style="122" bestFit="1" customWidth="1"/>
    <col min="10" max="10" width="11.42578125" style="122"/>
    <col min="11" max="11" width="12" style="122" bestFit="1" customWidth="1"/>
    <col min="12" max="16384" width="11.42578125" style="122"/>
  </cols>
  <sheetData>
    <row r="1" spans="1:7" ht="20.100000000000001" customHeight="1" thickTop="1" x14ac:dyDescent="0.2">
      <c r="A1" s="382" t="s">
        <v>1253</v>
      </c>
      <c r="B1" s="383"/>
      <c r="C1" s="383"/>
      <c r="D1" s="383"/>
      <c r="E1" s="383"/>
      <c r="F1" s="383"/>
      <c r="G1" s="384"/>
    </row>
    <row r="2" spans="1:7" ht="20.100000000000001" customHeight="1" x14ac:dyDescent="0.2">
      <c r="A2" s="335" t="s">
        <v>719</v>
      </c>
      <c r="B2" s="336" t="str">
        <f>Comitente</f>
        <v>INSTITUTO PROVINCIAL DE LA VIVIENDA</v>
      </c>
      <c r="C2" s="337"/>
      <c r="D2" s="338"/>
      <c r="E2" s="338"/>
      <c r="F2" s="339"/>
      <c r="G2" s="340"/>
    </row>
    <row r="3" spans="1:7" ht="20.100000000000001" customHeight="1" x14ac:dyDescent="0.2">
      <c r="A3" s="335" t="s">
        <v>720</v>
      </c>
      <c r="B3" s="336" t="str">
        <f>Contratista</f>
        <v>xxxxxx</v>
      </c>
      <c r="C3" s="341"/>
      <c r="D3" s="341"/>
      <c r="E3" s="341"/>
      <c r="F3" s="608"/>
      <c r="G3" s="343"/>
    </row>
    <row r="4" spans="1:7" ht="20.100000000000001" customHeight="1" x14ac:dyDescent="0.2">
      <c r="A4" s="335" t="s">
        <v>20</v>
      </c>
      <c r="B4" s="336" t="str">
        <f>Obra</f>
        <v>BARRIO JOSÉ AMÉRICO GRIMALT - SECTOR B</v>
      </c>
      <c r="C4" s="341"/>
      <c r="D4" s="341"/>
      <c r="E4" s="341"/>
      <c r="F4" s="342" t="s">
        <v>33</v>
      </c>
      <c r="G4" s="344">
        <f>+Datos!$C$10</f>
        <v>43770</v>
      </c>
    </row>
    <row r="5" spans="1:7" ht="20.100000000000001" customHeight="1" x14ac:dyDescent="0.2">
      <c r="A5" s="345" t="s">
        <v>718</v>
      </c>
      <c r="B5" s="346" t="str">
        <f>Ubicación</f>
        <v>DEPTO. ULLÚM</v>
      </c>
      <c r="C5" s="346"/>
      <c r="D5" s="329"/>
      <c r="E5" s="347"/>
      <c r="F5" s="348"/>
      <c r="G5" s="349"/>
    </row>
    <row r="6" spans="1:7" ht="20.100000000000001" customHeight="1" x14ac:dyDescent="0.2">
      <c r="A6" s="345" t="s">
        <v>34</v>
      </c>
      <c r="B6" s="350" t="s">
        <v>1125</v>
      </c>
      <c r="C6" s="351" t="str">
        <f>IFERROR(VLOOKUP(B6,Tabla_CyP,2,FALSE),"")</f>
        <v>VIVIENDA</v>
      </c>
      <c r="D6" s="352"/>
      <c r="E6" s="347"/>
      <c r="F6" s="348"/>
      <c r="G6" s="349"/>
    </row>
    <row r="7" spans="1:7" ht="20.100000000000001" customHeight="1" x14ac:dyDescent="0.2">
      <c r="A7" s="345" t="s">
        <v>21</v>
      </c>
      <c r="B7" s="385">
        <f>IFERROR(VLOOKUP(COUNTIF($A$1:A7,"ITEM:"),Tabla_NumeroItem,2,FALSE),"")</f>
        <v>1</v>
      </c>
      <c r="C7" s="351" t="str">
        <f>IFERROR(VLOOKUP(B7,Tabla_CyP,2,FALSE),"")</f>
        <v>Limpieza de terreno y replanteo</v>
      </c>
      <c r="D7" s="329"/>
      <c r="E7" s="347"/>
      <c r="F7" s="342" t="s">
        <v>22</v>
      </c>
      <c r="G7" s="353" t="str">
        <f>IFERROR(VLOOKUP(B7,Tabla_CyP,4,FALSE),"")</f>
        <v>gl</v>
      </c>
    </row>
    <row r="8" spans="1:7" ht="20.100000000000001" customHeight="1" x14ac:dyDescent="0.2">
      <c r="A8" s="345"/>
      <c r="B8" s="346"/>
      <c r="C8" s="351"/>
      <c r="D8" s="329"/>
      <c r="E8" s="347"/>
      <c r="F8" s="348"/>
      <c r="G8" s="349"/>
    </row>
    <row r="9" spans="1:7" ht="20.100000000000001" customHeight="1" x14ac:dyDescent="0.2">
      <c r="A9" s="634" t="s">
        <v>581</v>
      </c>
      <c r="B9" s="635"/>
      <c r="C9" s="636" t="s">
        <v>0</v>
      </c>
      <c r="D9" s="636" t="s">
        <v>23</v>
      </c>
      <c r="E9" s="638" t="s">
        <v>24</v>
      </c>
      <c r="F9" s="640" t="s">
        <v>25</v>
      </c>
      <c r="G9" s="632" t="s">
        <v>26</v>
      </c>
    </row>
    <row r="10" spans="1:7" ht="20.100000000000001" customHeight="1" x14ac:dyDescent="0.2">
      <c r="A10" s="354" t="s">
        <v>582</v>
      </c>
      <c r="B10" s="355" t="s">
        <v>583</v>
      </c>
      <c r="C10" s="637"/>
      <c r="D10" s="637"/>
      <c r="E10" s="639"/>
      <c r="F10" s="641"/>
      <c r="G10" s="633"/>
    </row>
    <row r="11" spans="1:7" ht="20.100000000000001" customHeight="1" x14ac:dyDescent="0.2">
      <c r="A11" s="413"/>
      <c r="B11" s="356"/>
      <c r="C11" s="357" t="s">
        <v>721</v>
      </c>
      <c r="D11" s="358"/>
      <c r="E11" s="359"/>
      <c r="F11" s="360"/>
      <c r="G11" s="361"/>
    </row>
    <row r="12" spans="1:7" ht="20.100000000000001" customHeight="1" x14ac:dyDescent="0.2">
      <c r="A12" s="362" t="str">
        <f>IFERROR(VLOOKUP(C12,Tabla_Insumos,4,FALSE),"")</f>
        <v/>
      </c>
      <c r="B12" s="327" t="str">
        <f t="shared" ref="B12:B25" si="0">IFERROR(VLOOKUP(C12,Tabla_Insumos,5,FALSE),"")</f>
        <v/>
      </c>
      <c r="C12" s="325"/>
      <c r="D12" s="324" t="str">
        <f t="shared" ref="D12:D25" si="1">IFERROR(VLOOKUP(C12,Tabla_Insumos,2,FALSE),"")</f>
        <v/>
      </c>
      <c r="E12" s="328"/>
      <c r="F12" s="330">
        <f t="shared" ref="F12:F25" si="2">IFERROR(VLOOKUP(C12,Tabla_Insumos,3,FALSE),0)</f>
        <v>0</v>
      </c>
      <c r="G12" s="331">
        <f>ROUND(E12*F12,2)</f>
        <v>0</v>
      </c>
    </row>
    <row r="13" spans="1:7" ht="20.100000000000001" customHeight="1" x14ac:dyDescent="0.2">
      <c r="A13" s="362" t="str">
        <f t="shared" ref="A13:A25" si="3">IFERROR(VLOOKUP(C13,Tabla_Insumos,4,FALSE),"")</f>
        <v/>
      </c>
      <c r="B13" s="327" t="str">
        <f t="shared" si="0"/>
        <v/>
      </c>
      <c r="C13" s="325"/>
      <c r="D13" s="324" t="str">
        <f t="shared" si="1"/>
        <v/>
      </c>
      <c r="E13" s="328"/>
      <c r="F13" s="330">
        <f t="shared" si="2"/>
        <v>0</v>
      </c>
      <c r="G13" s="331">
        <f t="shared" ref="G13:G25" si="4">ROUND(E13*F13,2)</f>
        <v>0</v>
      </c>
    </row>
    <row r="14" spans="1:7" ht="20.100000000000001" customHeight="1" x14ac:dyDescent="0.2">
      <c r="A14" s="362" t="str">
        <f t="shared" si="3"/>
        <v/>
      </c>
      <c r="B14" s="327" t="str">
        <f t="shared" si="0"/>
        <v/>
      </c>
      <c r="C14" s="325"/>
      <c r="D14" s="324" t="str">
        <f t="shared" si="1"/>
        <v/>
      </c>
      <c r="E14" s="328"/>
      <c r="F14" s="330">
        <f t="shared" si="2"/>
        <v>0</v>
      </c>
      <c r="G14" s="331">
        <f t="shared" si="4"/>
        <v>0</v>
      </c>
    </row>
    <row r="15" spans="1:7" ht="20.100000000000001" customHeight="1" x14ac:dyDescent="0.2">
      <c r="A15" s="362" t="str">
        <f t="shared" si="3"/>
        <v/>
      </c>
      <c r="B15" s="327" t="str">
        <f t="shared" si="0"/>
        <v/>
      </c>
      <c r="C15" s="326"/>
      <c r="D15" s="324" t="str">
        <f t="shared" si="1"/>
        <v/>
      </c>
      <c r="E15" s="328"/>
      <c r="F15" s="330">
        <f t="shared" si="2"/>
        <v>0</v>
      </c>
      <c r="G15" s="331">
        <f t="shared" si="4"/>
        <v>0</v>
      </c>
    </row>
    <row r="16" spans="1:7" ht="20.100000000000001" customHeight="1" x14ac:dyDescent="0.2">
      <c r="A16" s="362" t="str">
        <f t="shared" si="3"/>
        <v/>
      </c>
      <c r="B16" s="327" t="str">
        <f t="shared" si="0"/>
        <v/>
      </c>
      <c r="C16" s="327"/>
      <c r="D16" s="324" t="str">
        <f t="shared" si="1"/>
        <v/>
      </c>
      <c r="E16" s="328"/>
      <c r="F16" s="330">
        <f t="shared" si="2"/>
        <v>0</v>
      </c>
      <c r="G16" s="331">
        <f t="shared" si="4"/>
        <v>0</v>
      </c>
    </row>
    <row r="17" spans="1:7" ht="20.100000000000001" customHeight="1" x14ac:dyDescent="0.2">
      <c r="A17" s="362" t="str">
        <f t="shared" si="3"/>
        <v/>
      </c>
      <c r="B17" s="327" t="str">
        <f t="shared" si="0"/>
        <v/>
      </c>
      <c r="C17" s="363"/>
      <c r="D17" s="324" t="str">
        <f t="shared" si="1"/>
        <v/>
      </c>
      <c r="E17" s="364"/>
      <c r="F17" s="330">
        <f t="shared" si="2"/>
        <v>0</v>
      </c>
      <c r="G17" s="331">
        <f t="shared" si="4"/>
        <v>0</v>
      </c>
    </row>
    <row r="18" spans="1:7" ht="20.100000000000001" customHeight="1" x14ac:dyDescent="0.2">
      <c r="A18" s="362" t="str">
        <f t="shared" si="3"/>
        <v/>
      </c>
      <c r="B18" s="327" t="str">
        <f t="shared" si="0"/>
        <v/>
      </c>
      <c r="C18" s="363"/>
      <c r="D18" s="324" t="str">
        <f t="shared" si="1"/>
        <v/>
      </c>
      <c r="E18" s="364"/>
      <c r="F18" s="330">
        <f t="shared" si="2"/>
        <v>0</v>
      </c>
      <c r="G18" s="331">
        <f t="shared" si="4"/>
        <v>0</v>
      </c>
    </row>
    <row r="19" spans="1:7" ht="20.100000000000001" customHeight="1" x14ac:dyDescent="0.2">
      <c r="A19" s="362" t="str">
        <f t="shared" si="3"/>
        <v/>
      </c>
      <c r="B19" s="327" t="str">
        <f t="shared" si="0"/>
        <v/>
      </c>
      <c r="C19" s="363"/>
      <c r="D19" s="324" t="str">
        <f t="shared" si="1"/>
        <v/>
      </c>
      <c r="E19" s="364"/>
      <c r="F19" s="330">
        <f t="shared" si="2"/>
        <v>0</v>
      </c>
      <c r="G19" s="331">
        <f t="shared" si="4"/>
        <v>0</v>
      </c>
    </row>
    <row r="20" spans="1:7" ht="20.100000000000001" customHeight="1" x14ac:dyDescent="0.2">
      <c r="A20" s="362" t="str">
        <f t="shared" si="3"/>
        <v/>
      </c>
      <c r="B20" s="327" t="str">
        <f t="shared" si="0"/>
        <v/>
      </c>
      <c r="C20" s="363"/>
      <c r="D20" s="324" t="str">
        <f t="shared" si="1"/>
        <v/>
      </c>
      <c r="E20" s="364"/>
      <c r="F20" s="330">
        <f t="shared" si="2"/>
        <v>0</v>
      </c>
      <c r="G20" s="331">
        <f t="shared" si="4"/>
        <v>0</v>
      </c>
    </row>
    <row r="21" spans="1:7" ht="20.100000000000001" customHeight="1" x14ac:dyDescent="0.2">
      <c r="A21" s="362" t="str">
        <f t="shared" si="3"/>
        <v/>
      </c>
      <c r="B21" s="327" t="str">
        <f t="shared" si="0"/>
        <v/>
      </c>
      <c r="C21" s="363"/>
      <c r="D21" s="324" t="str">
        <f t="shared" si="1"/>
        <v/>
      </c>
      <c r="E21" s="364"/>
      <c r="F21" s="330">
        <f t="shared" si="2"/>
        <v>0</v>
      </c>
      <c r="G21" s="331">
        <f t="shared" si="4"/>
        <v>0</v>
      </c>
    </row>
    <row r="22" spans="1:7" ht="20.100000000000001" customHeight="1" x14ac:dyDescent="0.2">
      <c r="A22" s="362" t="str">
        <f t="shared" si="3"/>
        <v/>
      </c>
      <c r="B22" s="327" t="str">
        <f t="shared" si="0"/>
        <v/>
      </c>
      <c r="C22" s="363"/>
      <c r="D22" s="324" t="str">
        <f t="shared" si="1"/>
        <v/>
      </c>
      <c r="E22" s="364"/>
      <c r="F22" s="330">
        <f t="shared" si="2"/>
        <v>0</v>
      </c>
      <c r="G22" s="331">
        <f t="shared" si="4"/>
        <v>0</v>
      </c>
    </row>
    <row r="23" spans="1:7" ht="20.100000000000001" customHeight="1" x14ac:dyDescent="0.2">
      <c r="A23" s="362" t="str">
        <f t="shared" si="3"/>
        <v/>
      </c>
      <c r="B23" s="327" t="str">
        <f t="shared" si="0"/>
        <v/>
      </c>
      <c r="C23" s="363"/>
      <c r="D23" s="324" t="str">
        <f t="shared" si="1"/>
        <v/>
      </c>
      <c r="E23" s="364"/>
      <c r="F23" s="330">
        <f t="shared" si="2"/>
        <v>0</v>
      </c>
      <c r="G23" s="331">
        <f t="shared" si="4"/>
        <v>0</v>
      </c>
    </row>
    <row r="24" spans="1:7" ht="20.100000000000001" customHeight="1" x14ac:dyDescent="0.2">
      <c r="A24" s="362" t="str">
        <f t="shared" si="3"/>
        <v/>
      </c>
      <c r="B24" s="327" t="str">
        <f t="shared" si="0"/>
        <v/>
      </c>
      <c r="C24" s="363"/>
      <c r="D24" s="324" t="str">
        <f t="shared" si="1"/>
        <v/>
      </c>
      <c r="E24" s="364"/>
      <c r="F24" s="330">
        <f t="shared" si="2"/>
        <v>0</v>
      </c>
      <c r="G24" s="331">
        <f t="shared" si="4"/>
        <v>0</v>
      </c>
    </row>
    <row r="25" spans="1:7" ht="20.100000000000001" customHeight="1" x14ac:dyDescent="0.2">
      <c r="A25" s="362" t="str">
        <f t="shared" si="3"/>
        <v/>
      </c>
      <c r="B25" s="327" t="str">
        <f t="shared" si="0"/>
        <v/>
      </c>
      <c r="C25" s="363"/>
      <c r="D25" s="324" t="str">
        <f t="shared" si="1"/>
        <v/>
      </c>
      <c r="E25" s="364"/>
      <c r="F25" s="330">
        <f t="shared" si="2"/>
        <v>0</v>
      </c>
      <c r="G25" s="331">
        <f t="shared" si="4"/>
        <v>0</v>
      </c>
    </row>
    <row r="26" spans="1:7" ht="20.100000000000001" customHeight="1" x14ac:dyDescent="0.2">
      <c r="A26" s="365"/>
      <c r="B26" s="351"/>
      <c r="C26" s="351"/>
      <c r="D26" s="329"/>
      <c r="E26" s="347"/>
      <c r="F26" s="414" t="s">
        <v>27</v>
      </c>
      <c r="G26" s="332">
        <f>SUBTOTAL(9,G12:G25)</f>
        <v>0</v>
      </c>
    </row>
    <row r="27" spans="1:7" ht="20.100000000000001" customHeight="1" x14ac:dyDescent="0.2">
      <c r="A27" s="365"/>
      <c r="B27" s="351"/>
      <c r="C27" s="338" t="s">
        <v>722</v>
      </c>
      <c r="D27" s="329"/>
      <c r="E27" s="347"/>
      <c r="F27" s="348"/>
      <c r="G27" s="366"/>
    </row>
    <row r="28" spans="1:7" ht="20.100000000000001" customHeight="1" x14ac:dyDescent="0.2">
      <c r="A28" s="362" t="str">
        <f t="shared" ref="A28:A35" si="5">IFERROR(VLOOKUP(C28,Tabla_Insumos,4,FALSE),"")</f>
        <v/>
      </c>
      <c r="B28" s="327" t="str">
        <f t="shared" ref="B28:B35" si="6">IFERROR(VLOOKUP(C28,Tabla_Insumos,5,FALSE),"")</f>
        <v/>
      </c>
      <c r="C28" s="333"/>
      <c r="D28" s="324" t="str">
        <f t="shared" ref="D28:D35" si="7">IFERROR(VLOOKUP(C28,Tabla_Insumos,2,FALSE),"")</f>
        <v/>
      </c>
      <c r="E28" s="328"/>
      <c r="F28" s="367">
        <f t="shared" ref="F28:F35" si="8">IFERROR(VLOOKUP(C28,Tabla_Insumos,3,FALSE),0)</f>
        <v>0</v>
      </c>
      <c r="G28" s="331">
        <f>ROUND(E28*F28,2)</f>
        <v>0</v>
      </c>
    </row>
    <row r="29" spans="1:7" ht="20.100000000000001" customHeight="1" x14ac:dyDescent="0.2">
      <c r="A29" s="362" t="str">
        <f t="shared" si="5"/>
        <v/>
      </c>
      <c r="B29" s="327" t="str">
        <f t="shared" si="6"/>
        <v/>
      </c>
      <c r="C29" s="334"/>
      <c r="D29" s="324" t="str">
        <f t="shared" si="7"/>
        <v/>
      </c>
      <c r="E29" s="328"/>
      <c r="F29" s="367">
        <f t="shared" si="8"/>
        <v>0</v>
      </c>
      <c r="G29" s="331">
        <f t="shared" ref="G29:G35" si="9">ROUND(E29*F29,2)</f>
        <v>0</v>
      </c>
    </row>
    <row r="30" spans="1:7" ht="20.100000000000001" customHeight="1" x14ac:dyDescent="0.2">
      <c r="A30" s="362" t="str">
        <f t="shared" si="5"/>
        <v/>
      </c>
      <c r="B30" s="327" t="str">
        <f t="shared" si="6"/>
        <v/>
      </c>
      <c r="C30" s="334"/>
      <c r="D30" s="324" t="str">
        <f t="shared" si="7"/>
        <v/>
      </c>
      <c r="E30" s="328"/>
      <c r="F30" s="367">
        <f t="shared" si="8"/>
        <v>0</v>
      </c>
      <c r="G30" s="331">
        <f t="shared" si="9"/>
        <v>0</v>
      </c>
    </row>
    <row r="31" spans="1:7" ht="20.100000000000001" customHeight="1" x14ac:dyDescent="0.2">
      <c r="A31" s="362" t="str">
        <f t="shared" si="5"/>
        <v/>
      </c>
      <c r="B31" s="327" t="str">
        <f t="shared" si="6"/>
        <v/>
      </c>
      <c r="C31" s="334"/>
      <c r="D31" s="324" t="str">
        <f t="shared" si="7"/>
        <v/>
      </c>
      <c r="E31" s="328"/>
      <c r="F31" s="367">
        <f t="shared" si="8"/>
        <v>0</v>
      </c>
      <c r="G31" s="331">
        <f t="shared" si="9"/>
        <v>0</v>
      </c>
    </row>
    <row r="32" spans="1:7" ht="20.100000000000001" customHeight="1" x14ac:dyDescent="0.2">
      <c r="A32" s="362" t="str">
        <f t="shared" si="5"/>
        <v/>
      </c>
      <c r="B32" s="327" t="str">
        <f t="shared" si="6"/>
        <v/>
      </c>
      <c r="C32" s="327"/>
      <c r="D32" s="324" t="str">
        <f t="shared" si="7"/>
        <v/>
      </c>
      <c r="E32" s="328"/>
      <c r="F32" s="367">
        <f t="shared" si="8"/>
        <v>0</v>
      </c>
      <c r="G32" s="331">
        <f t="shared" si="9"/>
        <v>0</v>
      </c>
    </row>
    <row r="33" spans="1:7" ht="20.100000000000001" customHeight="1" x14ac:dyDescent="0.2">
      <c r="A33" s="362" t="str">
        <f t="shared" si="5"/>
        <v/>
      </c>
      <c r="B33" s="327" t="str">
        <f t="shared" si="6"/>
        <v/>
      </c>
      <c r="C33" s="327"/>
      <c r="D33" s="324" t="str">
        <f t="shared" si="7"/>
        <v/>
      </c>
      <c r="E33" s="328"/>
      <c r="F33" s="367">
        <f t="shared" si="8"/>
        <v>0</v>
      </c>
      <c r="G33" s="331">
        <f t="shared" si="9"/>
        <v>0</v>
      </c>
    </row>
    <row r="34" spans="1:7" ht="20.100000000000001" customHeight="1" x14ac:dyDescent="0.2">
      <c r="A34" s="362" t="str">
        <f t="shared" si="5"/>
        <v/>
      </c>
      <c r="B34" s="327" t="str">
        <f t="shared" si="6"/>
        <v/>
      </c>
      <c r="C34" s="363"/>
      <c r="D34" s="324" t="str">
        <f t="shared" si="7"/>
        <v/>
      </c>
      <c r="E34" s="364"/>
      <c r="F34" s="367">
        <f t="shared" si="8"/>
        <v>0</v>
      </c>
      <c r="G34" s="331">
        <f t="shared" si="9"/>
        <v>0</v>
      </c>
    </row>
    <row r="35" spans="1:7" ht="20.100000000000001" customHeight="1" x14ac:dyDescent="0.2">
      <c r="A35" s="362" t="str">
        <f t="shared" si="5"/>
        <v/>
      </c>
      <c r="B35" s="327" t="str">
        <f t="shared" si="6"/>
        <v/>
      </c>
      <c r="C35" s="363"/>
      <c r="D35" s="324" t="str">
        <f t="shared" si="7"/>
        <v/>
      </c>
      <c r="E35" s="364"/>
      <c r="F35" s="367">
        <f t="shared" si="8"/>
        <v>0</v>
      </c>
      <c r="G35" s="331">
        <f t="shared" si="9"/>
        <v>0</v>
      </c>
    </row>
    <row r="36" spans="1:7" ht="20.100000000000001" customHeight="1" x14ac:dyDescent="0.2">
      <c r="A36" s="365"/>
      <c r="B36" s="351"/>
      <c r="C36" s="351"/>
      <c r="D36" s="329"/>
      <c r="E36" s="347"/>
      <c r="F36" s="414" t="s">
        <v>28</v>
      </c>
      <c r="G36" s="332">
        <f>SUBTOTAL(9,G28:G35)</f>
        <v>0</v>
      </c>
    </row>
    <row r="37" spans="1:7" ht="20.100000000000001" customHeight="1" x14ac:dyDescent="0.2">
      <c r="A37" s="365"/>
      <c r="B37" s="351"/>
      <c r="C37" s="338" t="s">
        <v>723</v>
      </c>
      <c r="D37" s="329"/>
      <c r="E37" s="347"/>
      <c r="F37" s="348"/>
      <c r="G37" s="366"/>
    </row>
    <row r="38" spans="1:7" ht="20.100000000000001" customHeight="1" x14ac:dyDescent="0.2">
      <c r="A38" s="362" t="str">
        <f>IFERROR(VLOOKUP(C38,Tabla_Insumos,4,FALSE),"")</f>
        <v/>
      </c>
      <c r="B38" s="327" t="str">
        <f t="shared" ref="B38:B46" si="10">IFERROR(VLOOKUP(C38,Tabla_Insumos,5,FALSE),"")</f>
        <v/>
      </c>
      <c r="C38" s="334"/>
      <c r="D38" s="324" t="str">
        <f t="shared" ref="D38:D46" si="11">IFERROR(VLOOKUP(C38,Tabla_Insumos,2,FALSE),"")</f>
        <v/>
      </c>
      <c r="E38" s="328"/>
      <c r="F38" s="330">
        <f>IFERROR(VLOOKUP(C38,Tabla_Insumos,3,FALSE),0)</f>
        <v>0</v>
      </c>
      <c r="G38" s="331">
        <f>ROUND(E38*F38,2)</f>
        <v>0</v>
      </c>
    </row>
    <row r="39" spans="1:7" ht="20.100000000000001" customHeight="1" x14ac:dyDescent="0.2">
      <c r="A39" s="362" t="str">
        <f t="shared" ref="A39:A46" si="12">IFERROR(VLOOKUP(C39,Tabla_Insumos,4,FALSE),"")</f>
        <v/>
      </c>
      <c r="B39" s="327" t="str">
        <f t="shared" si="10"/>
        <v/>
      </c>
      <c r="C39" s="334"/>
      <c r="D39" s="324" t="str">
        <f t="shared" si="11"/>
        <v/>
      </c>
      <c r="E39" s="328"/>
      <c r="F39" s="330">
        <f t="shared" ref="F39:F46" si="13">IFERROR(VLOOKUP(C39,Tabla_Insumos,3,FALSE),0)</f>
        <v>0</v>
      </c>
      <c r="G39" s="331">
        <f t="shared" ref="G39:G46" si="14">ROUND(E39*F39,2)</f>
        <v>0</v>
      </c>
    </row>
    <row r="40" spans="1:7" ht="20.100000000000001" customHeight="1" x14ac:dyDescent="0.2">
      <c r="A40" s="362" t="str">
        <f t="shared" si="12"/>
        <v/>
      </c>
      <c r="B40" s="327" t="str">
        <f t="shared" si="10"/>
        <v/>
      </c>
      <c r="C40" s="333"/>
      <c r="D40" s="324" t="str">
        <f t="shared" si="11"/>
        <v/>
      </c>
      <c r="E40" s="328"/>
      <c r="F40" s="330">
        <f t="shared" si="13"/>
        <v>0</v>
      </c>
      <c r="G40" s="331">
        <f t="shared" si="14"/>
        <v>0</v>
      </c>
    </row>
    <row r="41" spans="1:7" ht="20.100000000000001" customHeight="1" x14ac:dyDescent="0.2">
      <c r="A41" s="362" t="str">
        <f t="shared" si="12"/>
        <v/>
      </c>
      <c r="B41" s="327" t="str">
        <f t="shared" si="10"/>
        <v/>
      </c>
      <c r="C41" s="368"/>
      <c r="D41" s="324" t="str">
        <f t="shared" si="11"/>
        <v/>
      </c>
      <c r="E41" s="328"/>
      <c r="F41" s="330">
        <f t="shared" si="13"/>
        <v>0</v>
      </c>
      <c r="G41" s="331">
        <f t="shared" si="14"/>
        <v>0</v>
      </c>
    </row>
    <row r="42" spans="1:7" ht="20.100000000000001" customHeight="1" x14ac:dyDescent="0.2">
      <c r="A42" s="362" t="str">
        <f t="shared" si="12"/>
        <v/>
      </c>
      <c r="B42" s="327" t="str">
        <f t="shared" si="10"/>
        <v/>
      </c>
      <c r="C42" s="369"/>
      <c r="D42" s="324" t="str">
        <f t="shared" si="11"/>
        <v/>
      </c>
      <c r="E42" s="328"/>
      <c r="F42" s="330">
        <f t="shared" si="13"/>
        <v>0</v>
      </c>
      <c r="G42" s="331">
        <f t="shared" si="14"/>
        <v>0</v>
      </c>
    </row>
    <row r="43" spans="1:7" ht="20.100000000000001" customHeight="1" x14ac:dyDescent="0.2">
      <c r="A43" s="362" t="str">
        <f t="shared" si="12"/>
        <v/>
      </c>
      <c r="B43" s="327" t="str">
        <f t="shared" si="10"/>
        <v/>
      </c>
      <c r="C43" s="363"/>
      <c r="D43" s="324" t="str">
        <f t="shared" si="11"/>
        <v/>
      </c>
      <c r="E43" s="364"/>
      <c r="F43" s="330">
        <f t="shared" si="13"/>
        <v>0</v>
      </c>
      <c r="G43" s="331">
        <f t="shared" si="14"/>
        <v>0</v>
      </c>
    </row>
    <row r="44" spans="1:7" ht="20.100000000000001" customHeight="1" x14ac:dyDescent="0.2">
      <c r="A44" s="362" t="str">
        <f t="shared" si="12"/>
        <v/>
      </c>
      <c r="B44" s="327" t="str">
        <f t="shared" si="10"/>
        <v/>
      </c>
      <c r="C44" s="363"/>
      <c r="D44" s="324" t="str">
        <f t="shared" si="11"/>
        <v/>
      </c>
      <c r="E44" s="364"/>
      <c r="F44" s="330">
        <f t="shared" si="13"/>
        <v>0</v>
      </c>
      <c r="G44" s="331">
        <f t="shared" si="14"/>
        <v>0</v>
      </c>
    </row>
    <row r="45" spans="1:7" ht="20.100000000000001" customHeight="1" x14ac:dyDescent="0.2">
      <c r="A45" s="362" t="str">
        <f t="shared" si="12"/>
        <v/>
      </c>
      <c r="B45" s="327" t="str">
        <f t="shared" si="10"/>
        <v/>
      </c>
      <c r="C45" s="363"/>
      <c r="D45" s="324" t="str">
        <f t="shared" si="11"/>
        <v/>
      </c>
      <c r="E45" s="364"/>
      <c r="F45" s="330">
        <f t="shared" si="13"/>
        <v>0</v>
      </c>
      <c r="G45" s="331">
        <f t="shared" si="14"/>
        <v>0</v>
      </c>
    </row>
    <row r="46" spans="1:7" ht="20.100000000000001" customHeight="1" x14ac:dyDescent="0.2">
      <c r="A46" s="362" t="str">
        <f t="shared" si="12"/>
        <v/>
      </c>
      <c r="B46" s="327" t="str">
        <f t="shared" si="10"/>
        <v/>
      </c>
      <c r="C46" s="363"/>
      <c r="D46" s="324" t="str">
        <f t="shared" si="11"/>
        <v/>
      </c>
      <c r="E46" s="364"/>
      <c r="F46" s="330">
        <f t="shared" si="13"/>
        <v>0</v>
      </c>
      <c r="G46" s="331">
        <f t="shared" si="14"/>
        <v>0</v>
      </c>
    </row>
    <row r="47" spans="1:7" ht="20.100000000000001" customHeight="1" x14ac:dyDescent="0.2">
      <c r="A47" s="370"/>
      <c r="B47" s="329"/>
      <c r="C47" s="351"/>
      <c r="D47" s="329"/>
      <c r="E47" s="347"/>
      <c r="F47" s="414" t="s">
        <v>29</v>
      </c>
      <c r="G47" s="332">
        <f>SUBTOTAL(9,G38:G46)</f>
        <v>0</v>
      </c>
    </row>
    <row r="48" spans="1:7" ht="20.100000000000001" customHeight="1" thickBot="1" x14ac:dyDescent="0.25">
      <c r="A48" s="371"/>
      <c r="B48" s="372"/>
      <c r="C48" s="373"/>
      <c r="D48" s="372"/>
      <c r="E48" s="374"/>
      <c r="F48" s="375"/>
      <c r="G48" s="376"/>
    </row>
    <row r="49" spans="1:7" ht="20.100000000000001" customHeight="1" thickBot="1" x14ac:dyDescent="0.25">
      <c r="A49" s="386">
        <f>B7</f>
        <v>1</v>
      </c>
      <c r="B49" s="377" t="str">
        <f>C7</f>
        <v>Limpieza de terreno y replanteo</v>
      </c>
      <c r="C49" s="378"/>
      <c r="D49" s="378" t="s">
        <v>30</v>
      </c>
      <c r="E49" s="379"/>
      <c r="F49" s="380" t="s">
        <v>31</v>
      </c>
      <c r="G49" s="381">
        <f>SUBTOTAL(9,G12:G48)</f>
        <v>0</v>
      </c>
    </row>
    <row r="50" spans="1:7" ht="20.100000000000001" customHeight="1" thickTop="1" x14ac:dyDescent="0.2"/>
  </sheetData>
  <mergeCells count="6">
    <mergeCell ref="G9:G10"/>
    <mergeCell ref="A9:B9"/>
    <mergeCell ref="C9:C10"/>
    <mergeCell ref="D9:D10"/>
    <mergeCell ref="E9:E10"/>
    <mergeCell ref="F9:F10"/>
  </mergeCells>
  <pageMargins left="0.78740157480314965" right="0.39370078740157483" top="1.1811023622047245" bottom="0.78740157480314965" header="0.39370078740157483" footer="0.39370078740157483"/>
  <pageSetup paperSize="9" scale="60" fitToHeight="111"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
    <pageSetUpPr fitToPage="1"/>
  </sheetPr>
  <dimension ref="G1:I4"/>
  <sheetViews>
    <sheetView showGridLines="0" zoomScaleNormal="100" workbookViewId="0">
      <selection activeCell="T23" sqref="T23"/>
    </sheetView>
  </sheetViews>
  <sheetFormatPr baseColWidth="10" defaultColWidth="10.7109375" defaultRowHeight="15" x14ac:dyDescent="0.25"/>
  <cols>
    <col min="1" max="16384" width="10.7109375" style="1"/>
  </cols>
  <sheetData>
    <row r="1" spans="7:9" ht="23.25" x14ac:dyDescent="0.25">
      <c r="G1" s="123" t="str">
        <f>"OBRA:  "&amp; Obra</f>
        <v>OBRA:  BARRIO JOSÉ AMÉRICO GRIMALT - SECTOR B</v>
      </c>
    </row>
    <row r="2" spans="7:9" ht="23.25" x14ac:dyDescent="0.25">
      <c r="G2" s="123" t="s">
        <v>1131</v>
      </c>
    </row>
    <row r="3" spans="7:9" ht="23.25" x14ac:dyDescent="0.25">
      <c r="G3" s="123" t="s">
        <v>1132</v>
      </c>
    </row>
    <row r="4" spans="7:9" ht="23.25" x14ac:dyDescent="0.35">
      <c r="I4" s="606"/>
    </row>
  </sheetData>
  <printOptions horizontalCentered="1"/>
  <pageMargins left="1.7716535433070868" right="0.78740157480314965" top="1.3779527559055118" bottom="0.78740157480314965" header="0.59055118110236227" footer="0.39370078740157483"/>
  <pageSetup paperSize="5" scale="82" orientation="landscape" r:id="rId1"/>
  <headerFooter>
    <oddHeader xml:space="preserve">&amp;C&amp;G
</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6">
    <pageSetUpPr fitToPage="1"/>
  </sheetPr>
  <dimension ref="G1:J5"/>
  <sheetViews>
    <sheetView showGridLines="0" zoomScale="90" zoomScaleNormal="90" workbookViewId="0">
      <selection activeCell="Q19" sqref="Q19"/>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7:10" ht="23.25" x14ac:dyDescent="0.25">
      <c r="G1" s="123" t="str">
        <f>"OBRA:  "&amp; Obra</f>
        <v>OBRA:  BARRIO JOSÉ AMÉRICO GRIMALT - SECTOR B</v>
      </c>
    </row>
    <row r="2" spans="7:10" ht="23.25" x14ac:dyDescent="0.25">
      <c r="G2" s="123" t="s">
        <v>1133</v>
      </c>
    </row>
    <row r="3" spans="7:10" ht="23.25" x14ac:dyDescent="0.25">
      <c r="G3" s="123" t="s">
        <v>1134</v>
      </c>
    </row>
    <row r="5" spans="7:10" ht="28.5" x14ac:dyDescent="0.45">
      <c r="J5" s="607"/>
    </row>
  </sheetData>
  <printOptions horizontalCentered="1"/>
  <pageMargins left="1.1811023622047245" right="0.78740157480314965" top="1.3779527559055118" bottom="0.78740157480314965" header="0.59055118110236227" footer="0.39370078740157483"/>
  <pageSetup paperSize="5" scale="69" pageOrder="overThenDown" orientation="landscape" r:id="rId1"/>
  <headerFooter>
    <oddHeader xml:space="preserve">&amp;C&amp;G
</oddHeader>
  </headerFooter>
  <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7">
    <pageSetUpPr fitToPage="1"/>
  </sheetPr>
  <dimension ref="A5:F536"/>
  <sheetViews>
    <sheetView zoomScale="120" zoomScaleNormal="120" workbookViewId="0">
      <selection activeCell="A533" sqref="A533"/>
    </sheetView>
  </sheetViews>
  <sheetFormatPr baseColWidth="10" defaultColWidth="11.42578125" defaultRowHeight="15" customHeight="1" x14ac:dyDescent="0.2"/>
  <cols>
    <col min="1" max="1" width="66.140625" style="465" customWidth="1"/>
    <col min="2" max="2" width="7.5703125" style="467" bestFit="1" customWidth="1"/>
    <col min="3" max="3" width="16.5703125" style="468" customWidth="1"/>
    <col min="4" max="4" width="20.140625" style="465" bestFit="1" customWidth="1"/>
    <col min="5" max="5" width="27.42578125" style="465" customWidth="1"/>
    <col min="6" max="6" width="22.7109375" style="124" bestFit="1" customWidth="1"/>
    <col min="7" max="16384" width="11.42578125" style="124"/>
  </cols>
  <sheetData>
    <row r="5" spans="1:5" ht="15" customHeight="1" x14ac:dyDescent="0.2">
      <c r="A5" s="466" t="s">
        <v>1113</v>
      </c>
    </row>
    <row r="7" spans="1:5" ht="15" customHeight="1" x14ac:dyDescent="0.2">
      <c r="A7" s="466" t="s">
        <v>1121</v>
      </c>
      <c r="B7" s="466" t="s">
        <v>1242</v>
      </c>
      <c r="C7" s="569" t="s">
        <v>1243</v>
      </c>
      <c r="D7" s="570" t="s">
        <v>1111</v>
      </c>
      <c r="E7" s="570" t="s">
        <v>1112</v>
      </c>
    </row>
    <row r="8" spans="1:5" ht="15" customHeight="1" x14ac:dyDescent="0.2">
      <c r="A8" s="466" t="s">
        <v>1244</v>
      </c>
    </row>
    <row r="9" spans="1:5" ht="15" customHeight="1" x14ac:dyDescent="0.2">
      <c r="A9" s="460"/>
      <c r="B9" s="469"/>
      <c r="C9" s="470"/>
      <c r="D9" s="460"/>
      <c r="E9" s="460" t="str">
        <f t="shared" ref="E9:E75" si="0">IFERROR(VLOOKUP(D9,Tabla_Indices,5,FALSE),"")</f>
        <v/>
      </c>
    </row>
    <row r="10" spans="1:5" ht="15" customHeight="1" x14ac:dyDescent="0.2">
      <c r="A10" s="460"/>
      <c r="B10" s="469"/>
      <c r="C10" s="470"/>
      <c r="D10" s="460"/>
      <c r="E10" s="460" t="str">
        <f t="shared" si="0"/>
        <v/>
      </c>
    </row>
    <row r="11" spans="1:5" ht="15" customHeight="1" x14ac:dyDescent="0.2">
      <c r="A11" s="460"/>
      <c r="B11" s="469"/>
      <c r="C11" s="470"/>
      <c r="D11" s="460"/>
      <c r="E11" s="460" t="str">
        <f t="shared" si="0"/>
        <v/>
      </c>
    </row>
    <row r="12" spans="1:5" ht="15" customHeight="1" x14ac:dyDescent="0.2">
      <c r="A12" s="460"/>
      <c r="B12" s="469"/>
      <c r="C12" s="470"/>
      <c r="D12" s="460"/>
      <c r="E12" s="460" t="str">
        <f t="shared" si="0"/>
        <v/>
      </c>
    </row>
    <row r="13" spans="1:5" ht="15" customHeight="1" x14ac:dyDescent="0.2">
      <c r="A13" s="460"/>
      <c r="B13" s="469"/>
      <c r="C13" s="470"/>
      <c r="D13" s="460"/>
      <c r="E13" s="460" t="str">
        <f t="shared" si="0"/>
        <v/>
      </c>
    </row>
    <row r="14" spans="1:5" ht="15" customHeight="1" x14ac:dyDescent="0.2">
      <c r="A14" s="460"/>
      <c r="B14" s="469"/>
      <c r="C14" s="470"/>
      <c r="D14" s="460"/>
      <c r="E14" s="460" t="str">
        <f t="shared" si="0"/>
        <v/>
      </c>
    </row>
    <row r="15" spans="1:5" ht="15" customHeight="1" x14ac:dyDescent="0.2">
      <c r="A15" s="460"/>
      <c r="B15" s="469"/>
      <c r="C15" s="470"/>
      <c r="D15" s="460"/>
      <c r="E15" s="460" t="str">
        <f t="shared" si="0"/>
        <v/>
      </c>
    </row>
    <row r="16" spans="1:5" ht="15" customHeight="1" x14ac:dyDescent="0.2">
      <c r="A16" s="460"/>
      <c r="B16" s="469"/>
      <c r="C16" s="470"/>
      <c r="D16" s="460"/>
      <c r="E16" s="460" t="str">
        <f t="shared" si="0"/>
        <v/>
      </c>
    </row>
    <row r="17" spans="1:6" ht="15" customHeight="1" x14ac:dyDescent="0.2">
      <c r="A17" s="460"/>
      <c r="B17" s="469"/>
      <c r="C17" s="470"/>
      <c r="D17" s="460"/>
      <c r="E17" s="460" t="str">
        <f t="shared" si="0"/>
        <v/>
      </c>
    </row>
    <row r="18" spans="1:6" ht="15" customHeight="1" x14ac:dyDescent="0.2">
      <c r="A18" s="460"/>
      <c r="B18" s="469"/>
      <c r="C18" s="470"/>
      <c r="D18" s="460"/>
      <c r="E18" s="460" t="str">
        <f t="shared" si="0"/>
        <v/>
      </c>
    </row>
    <row r="19" spans="1:6" ht="15" customHeight="1" x14ac:dyDescent="0.2">
      <c r="A19" s="460"/>
      <c r="B19" s="469"/>
      <c r="C19" s="470"/>
      <c r="D19" s="460"/>
      <c r="E19" s="460" t="str">
        <f t="shared" si="0"/>
        <v/>
      </c>
    </row>
    <row r="20" spans="1:6" ht="15" customHeight="1" x14ac:dyDescent="0.2">
      <c r="A20" s="460"/>
      <c r="B20" s="469"/>
      <c r="C20" s="470"/>
      <c r="D20" s="460"/>
      <c r="E20" s="460" t="str">
        <f t="shared" si="0"/>
        <v/>
      </c>
    </row>
    <row r="21" spans="1:6" ht="15" customHeight="1" x14ac:dyDescent="0.2">
      <c r="A21" s="460"/>
      <c r="B21" s="469"/>
      <c r="C21" s="470"/>
      <c r="D21" s="460"/>
      <c r="E21" s="460" t="str">
        <f t="shared" si="0"/>
        <v/>
      </c>
    </row>
    <row r="22" spans="1:6" ht="15" customHeight="1" x14ac:dyDescent="0.2">
      <c r="A22" s="460"/>
      <c r="B22" s="469"/>
      <c r="C22" s="470"/>
      <c r="D22" s="460"/>
      <c r="E22" s="460" t="str">
        <f t="shared" si="0"/>
        <v/>
      </c>
    </row>
    <row r="23" spans="1:6" ht="15" customHeight="1" x14ac:dyDescent="0.2">
      <c r="A23" s="460"/>
      <c r="B23" s="469"/>
      <c r="C23" s="470"/>
      <c r="D23" s="460"/>
      <c r="E23" s="460" t="str">
        <f t="shared" si="0"/>
        <v/>
      </c>
    </row>
    <row r="24" spans="1:6" ht="15" customHeight="1" x14ac:dyDescent="0.2">
      <c r="A24" s="460"/>
      <c r="B24" s="469"/>
      <c r="C24" s="470"/>
      <c r="D24" s="460"/>
      <c r="E24" s="460" t="str">
        <f t="shared" si="0"/>
        <v/>
      </c>
    </row>
    <row r="25" spans="1:6" ht="15" customHeight="1" x14ac:dyDescent="0.2">
      <c r="A25" s="460"/>
      <c r="B25" s="469"/>
      <c r="C25" s="470"/>
      <c r="D25" s="460"/>
      <c r="E25" s="460" t="str">
        <f t="shared" si="0"/>
        <v/>
      </c>
    </row>
    <row r="26" spans="1:6" ht="15" customHeight="1" x14ac:dyDescent="0.2">
      <c r="A26" s="460"/>
      <c r="B26" s="469"/>
      <c r="C26" s="470"/>
      <c r="D26" s="460"/>
      <c r="E26" s="460" t="str">
        <f t="shared" si="0"/>
        <v/>
      </c>
    </row>
    <row r="27" spans="1:6" ht="15" customHeight="1" x14ac:dyDescent="0.2">
      <c r="A27" s="460"/>
      <c r="B27" s="469"/>
      <c r="C27" s="470"/>
      <c r="D27" s="460"/>
      <c r="E27" s="460" t="str">
        <f>IFERROR(VLOOKUP(D27,Tabla_Indices,5,FALSE),"")</f>
        <v/>
      </c>
    </row>
    <row r="28" spans="1:6" ht="15" customHeight="1" x14ac:dyDescent="0.2">
      <c r="E28" s="465" t="str">
        <f t="shared" si="0"/>
        <v/>
      </c>
    </row>
    <row r="29" spans="1:6" ht="15" customHeight="1" x14ac:dyDescent="0.2">
      <c r="A29" s="466" t="s">
        <v>1245</v>
      </c>
      <c r="E29" s="465" t="str">
        <f t="shared" si="0"/>
        <v/>
      </c>
    </row>
    <row r="30" spans="1:6" ht="15" customHeight="1" x14ac:dyDescent="0.2">
      <c r="A30" s="460"/>
      <c r="B30" s="469"/>
      <c r="C30" s="470"/>
      <c r="D30" s="460"/>
      <c r="E30" s="460" t="str">
        <f t="shared" si="0"/>
        <v/>
      </c>
      <c r="F30" s="571"/>
    </row>
    <row r="31" spans="1:6" ht="15" customHeight="1" x14ac:dyDescent="0.2">
      <c r="A31" s="460"/>
      <c r="B31" s="469"/>
      <c r="C31" s="470"/>
      <c r="D31" s="460"/>
      <c r="E31" s="460" t="str">
        <f t="shared" si="0"/>
        <v/>
      </c>
    </row>
    <row r="32" spans="1:6" ht="15" customHeight="1" x14ac:dyDescent="0.2">
      <c r="A32" s="460"/>
      <c r="B32" s="469"/>
      <c r="C32" s="470"/>
      <c r="D32" s="460"/>
      <c r="E32" s="460" t="str">
        <f t="shared" si="0"/>
        <v/>
      </c>
    </row>
    <row r="33" spans="1:5" ht="15" customHeight="1" x14ac:dyDescent="0.2">
      <c r="A33" s="460"/>
      <c r="B33" s="469"/>
      <c r="C33" s="470"/>
      <c r="D33" s="460"/>
      <c r="E33" s="460" t="str">
        <f t="shared" si="0"/>
        <v/>
      </c>
    </row>
    <row r="34" spans="1:5" ht="15" customHeight="1" x14ac:dyDescent="0.2">
      <c r="A34" s="460"/>
      <c r="B34" s="469"/>
      <c r="C34" s="470"/>
      <c r="D34" s="460"/>
      <c r="E34" s="460" t="str">
        <f t="shared" si="0"/>
        <v/>
      </c>
    </row>
    <row r="35" spans="1:5" ht="15" customHeight="1" x14ac:dyDescent="0.2">
      <c r="A35" s="460"/>
      <c r="B35" s="469"/>
      <c r="C35" s="470"/>
      <c r="D35" s="460"/>
      <c r="E35" s="460" t="str">
        <f t="shared" si="0"/>
        <v/>
      </c>
    </row>
    <row r="36" spans="1:5" ht="15" customHeight="1" x14ac:dyDescent="0.2">
      <c r="A36" s="460"/>
      <c r="B36" s="469"/>
      <c r="C36" s="470"/>
      <c r="D36" s="460"/>
      <c r="E36" s="460" t="str">
        <f t="shared" si="0"/>
        <v/>
      </c>
    </row>
    <row r="37" spans="1:5" ht="15" customHeight="1" x14ac:dyDescent="0.2">
      <c r="A37" s="460"/>
      <c r="B37" s="469"/>
      <c r="C37" s="470"/>
      <c r="D37" s="460"/>
      <c r="E37" s="460" t="str">
        <f t="shared" si="0"/>
        <v/>
      </c>
    </row>
    <row r="38" spans="1:5" ht="15" customHeight="1" x14ac:dyDescent="0.2">
      <c r="A38" s="460"/>
      <c r="B38" s="469"/>
      <c r="C38" s="470"/>
      <c r="D38" s="460"/>
      <c r="E38" s="460" t="str">
        <f t="shared" si="0"/>
        <v/>
      </c>
    </row>
    <row r="39" spans="1:5" ht="15" customHeight="1" x14ac:dyDescent="0.2">
      <c r="A39" s="460"/>
      <c r="B39" s="469"/>
      <c r="C39" s="470"/>
      <c r="D39" s="460"/>
      <c r="E39" s="460" t="str">
        <f t="shared" si="0"/>
        <v/>
      </c>
    </row>
    <row r="40" spans="1:5" ht="15" customHeight="1" x14ac:dyDescent="0.2">
      <c r="A40" s="460"/>
      <c r="B40" s="469"/>
      <c r="C40" s="470"/>
      <c r="D40" s="460"/>
      <c r="E40" s="460" t="str">
        <f t="shared" si="0"/>
        <v/>
      </c>
    </row>
    <row r="41" spans="1:5" ht="15" customHeight="1" x14ac:dyDescent="0.2">
      <c r="A41" s="460"/>
      <c r="B41" s="469"/>
      <c r="C41" s="470"/>
      <c r="D41" s="460"/>
      <c r="E41" s="460" t="str">
        <f t="shared" si="0"/>
        <v/>
      </c>
    </row>
    <row r="42" spans="1:5" ht="15" customHeight="1" x14ac:dyDescent="0.2">
      <c r="A42" s="460"/>
      <c r="B42" s="469"/>
      <c r="C42" s="470"/>
      <c r="D42" s="460"/>
      <c r="E42" s="460" t="str">
        <f t="shared" si="0"/>
        <v/>
      </c>
    </row>
    <row r="43" spans="1:5" ht="15" customHeight="1" x14ac:dyDescent="0.2">
      <c r="A43" s="460"/>
      <c r="B43" s="469"/>
      <c r="C43" s="470"/>
      <c r="D43" s="460"/>
      <c r="E43" s="460" t="str">
        <f t="shared" si="0"/>
        <v/>
      </c>
    </row>
    <row r="44" spans="1:5" ht="15" customHeight="1" x14ac:dyDescent="0.2">
      <c r="A44" s="460"/>
      <c r="B44" s="469"/>
      <c r="C44" s="470"/>
      <c r="D44" s="460"/>
      <c r="E44" s="460" t="str">
        <f t="shared" si="0"/>
        <v/>
      </c>
    </row>
    <row r="45" spans="1:5" ht="15" customHeight="1" x14ac:dyDescent="0.2">
      <c r="A45" s="460"/>
      <c r="B45" s="469"/>
      <c r="C45" s="470"/>
      <c r="D45" s="460"/>
      <c r="E45" s="460" t="str">
        <f t="shared" si="0"/>
        <v/>
      </c>
    </row>
    <row r="46" spans="1:5" ht="15" customHeight="1" x14ac:dyDescent="0.2">
      <c r="A46" s="460"/>
      <c r="B46" s="469"/>
      <c r="C46" s="470"/>
      <c r="D46" s="460"/>
      <c r="E46" s="460" t="str">
        <f t="shared" si="0"/>
        <v/>
      </c>
    </row>
    <row r="47" spans="1:5" ht="15" customHeight="1" x14ac:dyDescent="0.2">
      <c r="A47" s="460"/>
      <c r="B47" s="469"/>
      <c r="C47" s="470"/>
      <c r="D47" s="460"/>
      <c r="E47" s="460" t="str">
        <f t="shared" si="0"/>
        <v/>
      </c>
    </row>
    <row r="48" spans="1:5" ht="15" customHeight="1" x14ac:dyDescent="0.2">
      <c r="A48" s="460"/>
      <c r="B48" s="469"/>
      <c r="C48" s="470"/>
      <c r="D48" s="460"/>
      <c r="E48" s="460" t="str">
        <f t="shared" si="0"/>
        <v/>
      </c>
    </row>
    <row r="49" spans="1:5" ht="15" customHeight="1" x14ac:dyDescent="0.2">
      <c r="A49" s="460"/>
      <c r="B49" s="469"/>
      <c r="C49" s="470"/>
      <c r="D49" s="460"/>
      <c r="E49" s="460" t="str">
        <f t="shared" si="0"/>
        <v/>
      </c>
    </row>
    <row r="50" spans="1:5" ht="15" customHeight="1" x14ac:dyDescent="0.2">
      <c r="A50" s="460"/>
      <c r="B50" s="469"/>
      <c r="C50" s="470"/>
      <c r="D50" s="460"/>
      <c r="E50" s="460" t="str">
        <f t="shared" si="0"/>
        <v/>
      </c>
    </row>
    <row r="51" spans="1:5" ht="15" customHeight="1" x14ac:dyDescent="0.2">
      <c r="A51" s="460"/>
      <c r="B51" s="469"/>
      <c r="C51" s="470"/>
      <c r="D51" s="460"/>
      <c r="E51" s="460" t="str">
        <f t="shared" si="0"/>
        <v/>
      </c>
    </row>
    <row r="52" spans="1:5" ht="15" customHeight="1" x14ac:dyDescent="0.2">
      <c r="A52" s="460"/>
      <c r="B52" s="469"/>
      <c r="C52" s="470"/>
      <c r="D52" s="460"/>
      <c r="E52" s="460" t="str">
        <f t="shared" si="0"/>
        <v/>
      </c>
    </row>
    <row r="53" spans="1:5" ht="15" customHeight="1" x14ac:dyDescent="0.2">
      <c r="A53" s="460"/>
      <c r="B53" s="469"/>
      <c r="C53" s="470"/>
      <c r="D53" s="460"/>
      <c r="E53" s="460" t="str">
        <f t="shared" si="0"/>
        <v/>
      </c>
    </row>
    <row r="54" spans="1:5" ht="15" customHeight="1" x14ac:dyDescent="0.2">
      <c r="A54" s="460"/>
      <c r="B54" s="469"/>
      <c r="C54" s="470"/>
      <c r="D54" s="460"/>
      <c r="E54" s="460" t="str">
        <f t="shared" si="0"/>
        <v/>
      </c>
    </row>
    <row r="55" spans="1:5" ht="15" customHeight="1" x14ac:dyDescent="0.2">
      <c r="A55" s="460"/>
      <c r="B55" s="469"/>
      <c r="C55" s="470"/>
      <c r="D55" s="460"/>
      <c r="E55" s="460" t="str">
        <f t="shared" si="0"/>
        <v/>
      </c>
    </row>
    <row r="56" spans="1:5" ht="15" customHeight="1" x14ac:dyDescent="0.2">
      <c r="A56" s="460"/>
      <c r="B56" s="469"/>
      <c r="C56" s="470"/>
      <c r="D56" s="460"/>
      <c r="E56" s="460" t="str">
        <f t="shared" si="0"/>
        <v/>
      </c>
    </row>
    <row r="57" spans="1:5" ht="15" customHeight="1" x14ac:dyDescent="0.2">
      <c r="A57" s="460"/>
      <c r="B57" s="469"/>
      <c r="C57" s="470"/>
      <c r="D57" s="460"/>
      <c r="E57" s="460" t="str">
        <f t="shared" si="0"/>
        <v/>
      </c>
    </row>
    <row r="58" spans="1:5" ht="15" customHeight="1" x14ac:dyDescent="0.2">
      <c r="A58" s="460"/>
      <c r="B58" s="469"/>
      <c r="C58" s="470"/>
      <c r="D58" s="460"/>
      <c r="E58" s="460" t="str">
        <f t="shared" si="0"/>
        <v/>
      </c>
    </row>
    <row r="59" spans="1:5" ht="15" customHeight="1" x14ac:dyDescent="0.2">
      <c r="A59" s="460"/>
      <c r="B59" s="469"/>
      <c r="C59" s="470"/>
      <c r="D59" s="460"/>
      <c r="E59" s="460" t="str">
        <f t="shared" si="0"/>
        <v/>
      </c>
    </row>
    <row r="60" spans="1:5" ht="15" customHeight="1" x14ac:dyDescent="0.2">
      <c r="A60" s="460"/>
      <c r="B60" s="469"/>
      <c r="C60" s="470"/>
      <c r="D60" s="460"/>
      <c r="E60" s="460" t="str">
        <f t="shared" si="0"/>
        <v/>
      </c>
    </row>
    <row r="61" spans="1:5" ht="15" customHeight="1" x14ac:dyDescent="0.2">
      <c r="A61" s="460"/>
      <c r="B61" s="469"/>
      <c r="C61" s="470"/>
      <c r="D61" s="460"/>
      <c r="E61" s="460" t="str">
        <f t="shared" si="0"/>
        <v/>
      </c>
    </row>
    <row r="62" spans="1:5" ht="15" customHeight="1" x14ac:dyDescent="0.2">
      <c r="A62" s="460"/>
      <c r="B62" s="469"/>
      <c r="C62" s="470"/>
      <c r="D62" s="460"/>
      <c r="E62" s="460" t="str">
        <f t="shared" si="0"/>
        <v/>
      </c>
    </row>
    <row r="63" spans="1:5" ht="15" customHeight="1" x14ac:dyDescent="0.2">
      <c r="A63" s="460"/>
      <c r="B63" s="469"/>
      <c r="C63" s="470"/>
      <c r="D63" s="460"/>
      <c r="E63" s="460" t="str">
        <f t="shared" si="0"/>
        <v/>
      </c>
    </row>
    <row r="64" spans="1:5" ht="15" customHeight="1" x14ac:dyDescent="0.2">
      <c r="A64" s="460"/>
      <c r="B64" s="469"/>
      <c r="C64" s="470"/>
      <c r="D64" s="460"/>
      <c r="E64" s="460" t="str">
        <f t="shared" si="0"/>
        <v/>
      </c>
    </row>
    <row r="65" spans="1:5" ht="15" customHeight="1" x14ac:dyDescent="0.2">
      <c r="A65" s="460"/>
      <c r="B65" s="469"/>
      <c r="C65" s="470"/>
      <c r="D65" s="460"/>
      <c r="E65" s="460" t="str">
        <f t="shared" si="0"/>
        <v/>
      </c>
    </row>
    <row r="66" spans="1:5" ht="15" customHeight="1" x14ac:dyDescent="0.2">
      <c r="A66" s="460"/>
      <c r="B66" s="469"/>
      <c r="C66" s="470"/>
      <c r="D66" s="460"/>
      <c r="E66" s="460" t="str">
        <f t="shared" si="0"/>
        <v/>
      </c>
    </row>
    <row r="67" spans="1:5" ht="15" customHeight="1" x14ac:dyDescent="0.2">
      <c r="A67" s="460"/>
      <c r="B67" s="469"/>
      <c r="C67" s="470"/>
      <c r="D67" s="460"/>
      <c r="E67" s="460" t="str">
        <f t="shared" si="0"/>
        <v/>
      </c>
    </row>
    <row r="68" spans="1:5" ht="15" customHeight="1" x14ac:dyDescent="0.2">
      <c r="A68" s="460"/>
      <c r="B68" s="469"/>
      <c r="C68" s="470"/>
      <c r="D68" s="460"/>
      <c r="E68" s="460" t="str">
        <f t="shared" si="0"/>
        <v/>
      </c>
    </row>
    <row r="69" spans="1:5" ht="15" customHeight="1" x14ac:dyDescent="0.2">
      <c r="A69" s="460"/>
      <c r="B69" s="469"/>
      <c r="C69" s="470"/>
      <c r="D69" s="460"/>
      <c r="E69" s="460" t="str">
        <f t="shared" si="0"/>
        <v/>
      </c>
    </row>
    <row r="70" spans="1:5" ht="15" customHeight="1" x14ac:dyDescent="0.2">
      <c r="A70" s="460"/>
      <c r="B70" s="469"/>
      <c r="C70" s="470"/>
      <c r="D70" s="460"/>
      <c r="E70" s="460" t="str">
        <f t="shared" si="0"/>
        <v/>
      </c>
    </row>
    <row r="71" spans="1:5" ht="15" customHeight="1" x14ac:dyDescent="0.2">
      <c r="E71" s="465" t="str">
        <f t="shared" si="0"/>
        <v/>
      </c>
    </row>
    <row r="72" spans="1:5" ht="15" customHeight="1" x14ac:dyDescent="0.2">
      <c r="A72" s="466" t="s">
        <v>1246</v>
      </c>
      <c r="E72" s="465" t="str">
        <f t="shared" si="0"/>
        <v/>
      </c>
    </row>
    <row r="73" spans="1:5" ht="15" customHeight="1" x14ac:dyDescent="0.2">
      <c r="A73" s="466" t="s">
        <v>1247</v>
      </c>
      <c r="E73" s="465" t="str">
        <f t="shared" si="0"/>
        <v/>
      </c>
    </row>
    <row r="74" spans="1:5" ht="15" customHeight="1" x14ac:dyDescent="0.2">
      <c r="A74" s="460"/>
      <c r="B74" s="469"/>
      <c r="C74" s="470"/>
      <c r="D74" s="460"/>
      <c r="E74" s="460" t="str">
        <f t="shared" si="0"/>
        <v/>
      </c>
    </row>
    <row r="75" spans="1:5" ht="15" customHeight="1" x14ac:dyDescent="0.2">
      <c r="A75" s="460"/>
      <c r="B75" s="469"/>
      <c r="C75" s="470"/>
      <c r="D75" s="460"/>
      <c r="E75" s="460" t="str">
        <f t="shared" si="0"/>
        <v/>
      </c>
    </row>
    <row r="76" spans="1:5" ht="15" customHeight="1" x14ac:dyDescent="0.2">
      <c r="A76" s="460"/>
      <c r="B76" s="469"/>
      <c r="C76" s="470"/>
      <c r="D76" s="460"/>
      <c r="E76" s="460" t="str">
        <f t="shared" ref="E76:E169" si="1">IFERROR(VLOOKUP(D76,Tabla_Indices,5,FALSE),"")</f>
        <v/>
      </c>
    </row>
    <row r="77" spans="1:5" ht="15" customHeight="1" x14ac:dyDescent="0.2">
      <c r="A77" s="460"/>
      <c r="B77" s="469"/>
      <c r="C77" s="470"/>
      <c r="D77" s="460"/>
      <c r="E77" s="460" t="str">
        <f t="shared" si="1"/>
        <v/>
      </c>
    </row>
    <row r="78" spans="1:5" ht="15" customHeight="1" x14ac:dyDescent="0.2">
      <c r="A78" s="460"/>
      <c r="B78" s="469"/>
      <c r="C78" s="470"/>
      <c r="D78" s="460"/>
      <c r="E78" s="460" t="str">
        <f t="shared" si="1"/>
        <v/>
      </c>
    </row>
    <row r="79" spans="1:5" ht="15" customHeight="1" x14ac:dyDescent="0.2">
      <c r="A79" s="460"/>
      <c r="B79" s="469"/>
      <c r="C79" s="470"/>
      <c r="D79" s="460"/>
      <c r="E79" s="460" t="str">
        <f t="shared" si="1"/>
        <v/>
      </c>
    </row>
    <row r="80" spans="1:5" ht="15" customHeight="1" x14ac:dyDescent="0.2">
      <c r="A80" s="460"/>
      <c r="B80" s="469"/>
      <c r="C80" s="470"/>
      <c r="D80" s="460"/>
      <c r="E80" s="460" t="str">
        <f t="shared" si="1"/>
        <v/>
      </c>
    </row>
    <row r="81" spans="1:6" ht="15" customHeight="1" x14ac:dyDescent="0.2">
      <c r="A81" s="460"/>
      <c r="B81" s="469"/>
      <c r="C81" s="470"/>
      <c r="D81" s="460"/>
      <c r="E81" s="460" t="str">
        <f t="shared" si="1"/>
        <v/>
      </c>
    </row>
    <row r="82" spans="1:6" ht="15" customHeight="1" x14ac:dyDescent="0.2">
      <c r="A82" s="460"/>
      <c r="B82" s="469"/>
      <c r="C82" s="470"/>
      <c r="D82" s="460"/>
      <c r="E82" s="460" t="str">
        <f t="shared" si="1"/>
        <v/>
      </c>
    </row>
    <row r="83" spans="1:6" ht="15" customHeight="1" x14ac:dyDescent="0.2">
      <c r="A83" s="388"/>
      <c r="B83" s="471"/>
      <c r="C83" s="470"/>
      <c r="D83" s="388"/>
      <c r="E83" s="388" t="str">
        <f t="shared" si="1"/>
        <v/>
      </c>
    </row>
    <row r="84" spans="1:6" ht="15" customHeight="1" x14ac:dyDescent="0.2">
      <c r="A84" s="388"/>
      <c r="B84" s="471"/>
      <c r="C84" s="470"/>
      <c r="D84" s="388"/>
      <c r="E84" s="388" t="str">
        <f>IFERROR(VLOOKUP(D84,Tabla_Indices,5,FALSE),"")</f>
        <v/>
      </c>
    </row>
    <row r="85" spans="1:6" ht="15" customHeight="1" x14ac:dyDescent="0.2">
      <c r="A85" s="388"/>
      <c r="B85" s="471"/>
      <c r="C85" s="470"/>
      <c r="D85" s="388"/>
      <c r="E85" s="388" t="str">
        <f t="shared" si="1"/>
        <v/>
      </c>
    </row>
    <row r="86" spans="1:6" ht="15" customHeight="1" x14ac:dyDescent="0.2">
      <c r="A86" s="388"/>
      <c r="B86" s="471"/>
      <c r="C86" s="470"/>
      <c r="D86" s="388"/>
      <c r="E86" s="388" t="str">
        <f t="shared" si="1"/>
        <v/>
      </c>
    </row>
    <row r="87" spans="1:6" ht="15" customHeight="1" x14ac:dyDescent="0.2">
      <c r="A87" s="327"/>
      <c r="B87" s="471"/>
      <c r="C87" s="470"/>
      <c r="D87" s="388"/>
      <c r="E87" s="388" t="str">
        <f t="shared" si="1"/>
        <v/>
      </c>
      <c r="F87" s="472"/>
    </row>
    <row r="88" spans="1:6" ht="15" customHeight="1" x14ac:dyDescent="0.2">
      <c r="A88" s="363"/>
      <c r="B88" s="471"/>
      <c r="C88" s="470"/>
      <c r="D88" s="388"/>
      <c r="E88" s="388" t="str">
        <f t="shared" ref="E88:E96" si="2">IFERROR(VLOOKUP(D88,Tabla_Indices,5,FALSE),"")</f>
        <v/>
      </c>
      <c r="F88" s="472"/>
    </row>
    <row r="89" spans="1:6" ht="15" customHeight="1" x14ac:dyDescent="0.2">
      <c r="A89" s="363"/>
      <c r="B89" s="471"/>
      <c r="C89" s="470"/>
      <c r="D89" s="388"/>
      <c r="E89" s="388" t="str">
        <f t="shared" si="2"/>
        <v/>
      </c>
      <c r="F89" s="472"/>
    </row>
    <row r="90" spans="1:6" ht="15" customHeight="1" x14ac:dyDescent="0.2">
      <c r="A90" s="363"/>
      <c r="B90" s="471"/>
      <c r="C90" s="470"/>
      <c r="D90" s="388"/>
      <c r="E90" s="388" t="str">
        <f>IFERROR(VLOOKUP(D90,Tabla_Indices,5,FALSE),"")</f>
        <v/>
      </c>
      <c r="F90" s="472"/>
    </row>
    <row r="91" spans="1:6" ht="15" customHeight="1" x14ac:dyDescent="0.2">
      <c r="A91" s="363"/>
      <c r="B91" s="471"/>
      <c r="C91" s="470"/>
      <c r="D91" s="388"/>
      <c r="E91" s="388" t="str">
        <f t="shared" si="2"/>
        <v/>
      </c>
      <c r="F91" s="472"/>
    </row>
    <row r="92" spans="1:6" ht="15" customHeight="1" x14ac:dyDescent="0.2">
      <c r="A92" s="363"/>
      <c r="B92" s="471"/>
      <c r="C92" s="470"/>
      <c r="D92" s="388"/>
      <c r="E92" s="388" t="str">
        <f t="shared" si="2"/>
        <v/>
      </c>
      <c r="F92" s="472"/>
    </row>
    <row r="93" spans="1:6" ht="15" customHeight="1" x14ac:dyDescent="0.2">
      <c r="A93" s="363"/>
      <c r="B93" s="471"/>
      <c r="C93" s="470"/>
      <c r="D93" s="388"/>
      <c r="E93" s="388" t="str">
        <f t="shared" si="2"/>
        <v/>
      </c>
      <c r="F93" s="472"/>
    </row>
    <row r="94" spans="1:6" ht="15" customHeight="1" x14ac:dyDescent="0.2">
      <c r="A94" s="363"/>
      <c r="B94" s="471"/>
      <c r="C94" s="470"/>
      <c r="D94" s="388"/>
      <c r="E94" s="388" t="str">
        <f t="shared" si="2"/>
        <v/>
      </c>
      <c r="F94" s="472"/>
    </row>
    <row r="95" spans="1:6" ht="15" customHeight="1" x14ac:dyDescent="0.2">
      <c r="A95" s="363"/>
      <c r="B95" s="471"/>
      <c r="C95" s="470"/>
      <c r="D95" s="388"/>
      <c r="E95" s="388" t="str">
        <f t="shared" si="2"/>
        <v/>
      </c>
      <c r="F95" s="472"/>
    </row>
    <row r="96" spans="1:6" ht="15" customHeight="1" x14ac:dyDescent="0.2">
      <c r="A96" s="363"/>
      <c r="B96" s="471"/>
      <c r="C96" s="470"/>
      <c r="D96" s="388"/>
      <c r="E96" s="388" t="str">
        <f t="shared" si="2"/>
        <v/>
      </c>
      <c r="F96" s="472"/>
    </row>
    <row r="97" spans="1:6" ht="15" customHeight="1" x14ac:dyDescent="0.2">
      <c r="A97" s="363"/>
      <c r="B97" s="471"/>
      <c r="C97" s="470"/>
      <c r="D97" s="388"/>
      <c r="E97" s="388" t="str">
        <f>IFERROR(VLOOKUP(D97,Tabla_Indices,5,FALSE),"")</f>
        <v/>
      </c>
      <c r="F97" s="472"/>
    </row>
    <row r="98" spans="1:6" ht="15" customHeight="1" x14ac:dyDescent="0.2">
      <c r="A98" s="460"/>
      <c r="B98" s="469"/>
      <c r="C98" s="470"/>
      <c r="D98" s="460"/>
      <c r="E98" s="460" t="str">
        <f t="shared" si="1"/>
        <v/>
      </c>
    </row>
    <row r="99" spans="1:6" ht="15" customHeight="1" x14ac:dyDescent="0.2">
      <c r="A99" s="460"/>
      <c r="B99" s="469"/>
      <c r="C99" s="470"/>
      <c r="D99" s="460"/>
      <c r="E99" s="460" t="str">
        <f t="shared" si="1"/>
        <v/>
      </c>
    </row>
    <row r="100" spans="1:6" ht="15" customHeight="1" x14ac:dyDescent="0.2">
      <c r="A100" s="460"/>
      <c r="B100" s="469"/>
      <c r="C100" s="470"/>
      <c r="D100" s="460"/>
      <c r="E100" s="460" t="str">
        <f t="shared" si="1"/>
        <v/>
      </c>
    </row>
    <row r="101" spans="1:6" ht="15" customHeight="1" x14ac:dyDescent="0.2">
      <c r="A101" s="460"/>
      <c r="B101" s="469"/>
      <c r="C101" s="470"/>
      <c r="D101" s="460"/>
      <c r="E101" s="460" t="str">
        <f t="shared" si="1"/>
        <v/>
      </c>
    </row>
    <row r="102" spans="1:6" ht="15" customHeight="1" x14ac:dyDescent="0.2">
      <c r="A102" s="460"/>
      <c r="B102" s="469"/>
      <c r="C102" s="470"/>
      <c r="D102" s="460"/>
      <c r="E102" s="460" t="str">
        <f t="shared" si="1"/>
        <v/>
      </c>
    </row>
    <row r="103" spans="1:6" ht="15" customHeight="1" x14ac:dyDescent="0.2">
      <c r="A103" s="460"/>
      <c r="B103" s="469"/>
      <c r="C103" s="470"/>
      <c r="D103" s="460"/>
      <c r="E103" s="460" t="str">
        <f t="shared" si="1"/>
        <v/>
      </c>
    </row>
    <row r="104" spans="1:6" ht="15" customHeight="1" x14ac:dyDescent="0.2">
      <c r="A104" s="460"/>
      <c r="B104" s="469"/>
      <c r="C104" s="470"/>
      <c r="D104" s="460"/>
      <c r="E104" s="460" t="str">
        <f t="shared" si="1"/>
        <v/>
      </c>
    </row>
    <row r="105" spans="1:6" ht="15" customHeight="1" x14ac:dyDescent="0.2">
      <c r="A105" s="460"/>
      <c r="B105" s="469"/>
      <c r="C105" s="470"/>
      <c r="D105" s="460"/>
      <c r="E105" s="460" t="str">
        <f t="shared" si="1"/>
        <v/>
      </c>
    </row>
    <row r="106" spans="1:6" ht="15" customHeight="1" x14ac:dyDescent="0.2">
      <c r="A106" s="460"/>
      <c r="B106" s="469"/>
      <c r="C106" s="470"/>
      <c r="D106" s="460"/>
      <c r="E106" s="460" t="str">
        <f t="shared" si="1"/>
        <v/>
      </c>
    </row>
    <row r="107" spans="1:6" ht="15" customHeight="1" x14ac:dyDescent="0.2">
      <c r="A107" s="460"/>
      <c r="B107" s="469"/>
      <c r="C107" s="470"/>
      <c r="D107" s="460"/>
      <c r="E107" s="460" t="str">
        <f t="shared" si="1"/>
        <v/>
      </c>
    </row>
    <row r="108" spans="1:6" ht="15" customHeight="1" x14ac:dyDescent="0.2">
      <c r="A108" s="460"/>
      <c r="B108" s="469"/>
      <c r="C108" s="470"/>
      <c r="D108" s="460"/>
      <c r="E108" s="460" t="str">
        <f t="shared" si="1"/>
        <v/>
      </c>
    </row>
    <row r="109" spans="1:6" ht="15" customHeight="1" x14ac:dyDescent="0.2">
      <c r="A109" s="460"/>
      <c r="B109" s="469"/>
      <c r="C109" s="470"/>
      <c r="D109" s="460"/>
      <c r="E109" s="460" t="str">
        <f>IFERROR(VLOOKUP(D109,Tabla_Indices,5,FALSE),"")</f>
        <v/>
      </c>
    </row>
    <row r="110" spans="1:6" ht="15" customHeight="1" x14ac:dyDescent="0.2">
      <c r="A110" s="363"/>
      <c r="B110" s="469"/>
      <c r="C110" s="470"/>
      <c r="D110" s="460"/>
      <c r="E110" s="460" t="str">
        <f>IFERROR(VLOOKUP(D110,Tabla_Indices,5,FALSE),"")</f>
        <v/>
      </c>
    </row>
    <row r="111" spans="1:6" ht="15" customHeight="1" x14ac:dyDescent="0.2">
      <c r="A111" s="460"/>
      <c r="B111" s="469"/>
      <c r="C111" s="470"/>
      <c r="D111" s="460"/>
      <c r="E111" s="460" t="str">
        <f t="shared" si="1"/>
        <v/>
      </c>
    </row>
    <row r="112" spans="1:6" ht="15" customHeight="1" x14ac:dyDescent="0.2">
      <c r="A112" s="460"/>
      <c r="B112" s="469"/>
      <c r="C112" s="470"/>
      <c r="D112" s="460"/>
      <c r="E112" s="460" t="str">
        <f t="shared" si="1"/>
        <v/>
      </c>
    </row>
    <row r="113" spans="1:5" ht="15" customHeight="1" x14ac:dyDescent="0.2">
      <c r="A113" s="460"/>
      <c r="B113" s="469"/>
      <c r="C113" s="470"/>
      <c r="D113" s="460"/>
      <c r="E113" s="460" t="str">
        <f t="shared" si="1"/>
        <v/>
      </c>
    </row>
    <row r="114" spans="1:5" ht="15" customHeight="1" x14ac:dyDescent="0.2">
      <c r="A114" s="460"/>
      <c r="B114" s="469"/>
      <c r="C114" s="470"/>
      <c r="D114" s="460"/>
      <c r="E114" s="460" t="str">
        <f t="shared" si="1"/>
        <v/>
      </c>
    </row>
    <row r="116" spans="1:5" ht="15" customHeight="1" x14ac:dyDescent="0.2">
      <c r="E116" s="465" t="str">
        <f t="shared" si="1"/>
        <v/>
      </c>
    </row>
    <row r="117" spans="1:5" ht="15" customHeight="1" x14ac:dyDescent="0.2">
      <c r="A117" s="466" t="s">
        <v>1248</v>
      </c>
      <c r="E117" s="465" t="str">
        <f t="shared" si="1"/>
        <v/>
      </c>
    </row>
    <row r="118" spans="1:5" ht="15" customHeight="1" x14ac:dyDescent="0.2">
      <c r="A118" s="460"/>
      <c r="B118" s="469"/>
      <c r="C118" s="470"/>
      <c r="D118" s="460"/>
      <c r="E118" s="460" t="str">
        <f t="shared" si="1"/>
        <v/>
      </c>
    </row>
    <row r="119" spans="1:5" ht="15" customHeight="1" x14ac:dyDescent="0.2">
      <c r="A119" s="460"/>
      <c r="B119" s="469"/>
      <c r="C119" s="470"/>
      <c r="D119" s="460"/>
      <c r="E119" s="460" t="str">
        <f>IFERROR(VLOOKUP(D119,Tabla_Indices,5,FALSE),"")</f>
        <v/>
      </c>
    </row>
    <row r="120" spans="1:5" ht="15" customHeight="1" x14ac:dyDescent="0.2">
      <c r="A120" s="460"/>
      <c r="B120" s="469"/>
      <c r="C120" s="470"/>
      <c r="D120" s="460"/>
      <c r="E120" s="460" t="str">
        <f>IFERROR(VLOOKUP(D120,Tabla_Indices,5,FALSE),"")</f>
        <v/>
      </c>
    </row>
    <row r="121" spans="1:5" ht="15" customHeight="1" x14ac:dyDescent="0.2">
      <c r="A121" s="460"/>
      <c r="B121" s="469"/>
      <c r="C121" s="470"/>
      <c r="D121" s="460"/>
      <c r="E121" s="460" t="str">
        <f t="shared" si="1"/>
        <v/>
      </c>
    </row>
    <row r="122" spans="1:5" ht="15" customHeight="1" x14ac:dyDescent="0.2">
      <c r="A122" s="460"/>
      <c r="B122" s="469"/>
      <c r="C122" s="470"/>
      <c r="D122" s="460"/>
      <c r="E122" s="460" t="str">
        <f t="shared" si="1"/>
        <v/>
      </c>
    </row>
    <row r="123" spans="1:5" ht="15" customHeight="1" x14ac:dyDescent="0.2">
      <c r="A123" s="460"/>
      <c r="B123" s="469"/>
      <c r="C123" s="470"/>
      <c r="D123" s="460"/>
      <c r="E123" s="460" t="str">
        <f>IFERROR(VLOOKUP(D123,Tabla_Indices,5,FALSE),"")</f>
        <v/>
      </c>
    </row>
    <row r="124" spans="1:5" ht="15" customHeight="1" x14ac:dyDescent="0.2">
      <c r="A124" s="460"/>
      <c r="B124" s="469"/>
      <c r="C124" s="470"/>
      <c r="D124" s="460"/>
      <c r="E124" s="460" t="str">
        <f>IFERROR(VLOOKUP(D124,Tabla_Indices,5,FALSE),"")</f>
        <v/>
      </c>
    </row>
    <row r="125" spans="1:5" ht="15" customHeight="1" x14ac:dyDescent="0.2">
      <c r="A125" s="460"/>
      <c r="B125" s="469"/>
      <c r="C125" s="470"/>
      <c r="D125" s="460"/>
      <c r="E125" s="460" t="str">
        <f t="shared" si="1"/>
        <v/>
      </c>
    </row>
    <row r="126" spans="1:5" ht="15" customHeight="1" x14ac:dyDescent="0.2">
      <c r="A126" s="460"/>
      <c r="B126" s="469"/>
      <c r="C126" s="470"/>
      <c r="D126" s="460"/>
      <c r="E126" s="460" t="str">
        <f t="shared" si="1"/>
        <v/>
      </c>
    </row>
    <row r="127" spans="1:5" ht="15" customHeight="1" x14ac:dyDescent="0.2">
      <c r="A127" s="460"/>
      <c r="B127" s="469"/>
      <c r="C127" s="470"/>
      <c r="D127" s="460"/>
      <c r="E127" s="460" t="str">
        <f t="shared" si="1"/>
        <v/>
      </c>
    </row>
    <row r="128" spans="1:5" ht="15" customHeight="1" x14ac:dyDescent="0.2">
      <c r="A128" s="460"/>
      <c r="B128" s="469"/>
      <c r="C128" s="470"/>
      <c r="D128" s="460"/>
      <c r="E128" s="460" t="str">
        <f>IFERROR(VLOOKUP(D128,Tabla_Indices,5,FALSE),"")</f>
        <v/>
      </c>
    </row>
    <row r="129" spans="1:5" ht="15" customHeight="1" x14ac:dyDescent="0.2">
      <c r="A129" s="460"/>
      <c r="B129" s="469"/>
      <c r="C129" s="470"/>
      <c r="D129" s="460"/>
      <c r="E129" s="460" t="str">
        <f>IFERROR(VLOOKUP(D129,Tabla_Indices,5,FALSE),"")</f>
        <v/>
      </c>
    </row>
    <row r="130" spans="1:5" ht="15" customHeight="1" x14ac:dyDescent="0.2">
      <c r="A130" s="460"/>
      <c r="B130" s="469"/>
      <c r="C130" s="470"/>
      <c r="D130" s="460"/>
      <c r="E130" s="460" t="str">
        <f t="shared" si="1"/>
        <v/>
      </c>
    </row>
    <row r="131" spans="1:5" ht="15" customHeight="1" x14ac:dyDescent="0.2">
      <c r="A131" s="460"/>
      <c r="B131" s="469"/>
      <c r="C131" s="470"/>
      <c r="D131" s="460"/>
      <c r="E131" s="460" t="str">
        <f t="shared" si="1"/>
        <v/>
      </c>
    </row>
    <row r="132" spans="1:5" ht="15" customHeight="1" x14ac:dyDescent="0.2">
      <c r="A132" s="460"/>
      <c r="B132" s="469"/>
      <c r="C132" s="470"/>
      <c r="D132" s="460"/>
      <c r="E132" s="460" t="str">
        <f>IFERROR(VLOOKUP(D132,Tabla_Indices,5,FALSE),"")</f>
        <v/>
      </c>
    </row>
    <row r="133" spans="1:5" ht="15" customHeight="1" x14ac:dyDescent="0.2">
      <c r="A133" s="460"/>
      <c r="B133" s="469"/>
      <c r="C133" s="470"/>
      <c r="D133" s="460"/>
      <c r="E133" s="460" t="str">
        <f>IFERROR(VLOOKUP(D133,Tabla_Indices,5,FALSE),"")</f>
        <v/>
      </c>
    </row>
    <row r="134" spans="1:5" ht="15" customHeight="1" x14ac:dyDescent="0.2">
      <c r="A134" s="460"/>
      <c r="B134" s="469"/>
      <c r="C134" s="470"/>
      <c r="D134" s="460"/>
      <c r="E134" s="460" t="str">
        <f t="shared" si="1"/>
        <v/>
      </c>
    </row>
    <row r="135" spans="1:5" ht="15" customHeight="1" x14ac:dyDescent="0.2">
      <c r="A135" s="460"/>
      <c r="B135" s="469"/>
      <c r="C135" s="470"/>
      <c r="D135" s="460"/>
      <c r="E135" s="460" t="str">
        <f t="shared" si="1"/>
        <v/>
      </c>
    </row>
    <row r="136" spans="1:5" ht="15" customHeight="1" x14ac:dyDescent="0.2">
      <c r="A136" s="460"/>
      <c r="B136" s="469"/>
      <c r="C136" s="470"/>
      <c r="D136" s="460"/>
      <c r="E136" s="460" t="str">
        <f t="shared" si="1"/>
        <v/>
      </c>
    </row>
    <row r="137" spans="1:5" ht="15" customHeight="1" x14ac:dyDescent="0.2">
      <c r="A137" s="460"/>
      <c r="B137" s="469"/>
      <c r="C137" s="470"/>
      <c r="D137" s="460"/>
      <c r="E137" s="460" t="str">
        <f t="shared" si="1"/>
        <v/>
      </c>
    </row>
    <row r="138" spans="1:5" ht="15" customHeight="1" x14ac:dyDescent="0.2">
      <c r="A138" s="460"/>
      <c r="B138" s="469"/>
      <c r="C138" s="470"/>
      <c r="D138" s="460"/>
      <c r="E138" s="460" t="str">
        <f t="shared" si="1"/>
        <v/>
      </c>
    </row>
    <row r="139" spans="1:5" ht="15" customHeight="1" x14ac:dyDescent="0.2">
      <c r="A139" s="460"/>
      <c r="B139" s="469"/>
      <c r="C139" s="470"/>
      <c r="D139" s="460"/>
      <c r="E139" s="460" t="str">
        <f t="shared" si="1"/>
        <v/>
      </c>
    </row>
    <row r="140" spans="1:5" ht="15" customHeight="1" x14ac:dyDescent="0.2">
      <c r="A140" s="460"/>
      <c r="B140" s="469"/>
      <c r="C140" s="470"/>
      <c r="D140" s="460"/>
      <c r="E140" s="460" t="str">
        <f t="shared" si="1"/>
        <v/>
      </c>
    </row>
    <row r="143" spans="1:5" ht="15" customHeight="1" x14ac:dyDescent="0.2">
      <c r="A143" s="466" t="s">
        <v>1249</v>
      </c>
      <c r="E143" s="465" t="str">
        <f t="shared" si="1"/>
        <v/>
      </c>
    </row>
    <row r="144" spans="1:5" ht="15" customHeight="1" x14ac:dyDescent="0.2">
      <c r="A144" s="460"/>
      <c r="B144" s="469"/>
      <c r="C144" s="470"/>
      <c r="D144" s="460"/>
      <c r="E144" s="460" t="str">
        <f t="shared" si="1"/>
        <v/>
      </c>
    </row>
    <row r="145" spans="1:6" ht="15" customHeight="1" x14ac:dyDescent="0.2">
      <c r="A145" s="460"/>
      <c r="B145" s="469"/>
      <c r="C145" s="470"/>
      <c r="D145" s="460"/>
      <c r="E145" s="460" t="str">
        <f>IFERROR(VLOOKUP(D145,Tabla_Indices,5,FALSE),"")</f>
        <v/>
      </c>
    </row>
    <row r="146" spans="1:6" ht="15" customHeight="1" x14ac:dyDescent="0.2">
      <c r="A146" s="460"/>
      <c r="B146" s="469"/>
      <c r="C146" s="470"/>
      <c r="D146" s="460"/>
      <c r="E146" s="460" t="str">
        <f>IFERROR(VLOOKUP(D146,Tabla_Indices,5,FALSE),"")</f>
        <v/>
      </c>
    </row>
    <row r="147" spans="1:6" ht="15" customHeight="1" x14ac:dyDescent="0.2">
      <c r="A147" s="460"/>
      <c r="B147" s="469"/>
      <c r="C147" s="470"/>
      <c r="D147" s="460"/>
      <c r="E147" s="460" t="str">
        <f t="shared" si="1"/>
        <v/>
      </c>
    </row>
    <row r="148" spans="1:6" ht="15" customHeight="1" x14ac:dyDescent="0.2">
      <c r="A148" s="460"/>
      <c r="B148" s="469"/>
      <c r="C148" s="470"/>
      <c r="D148" s="460"/>
      <c r="E148" s="460" t="str">
        <f t="shared" si="1"/>
        <v/>
      </c>
      <c r="F148" s="459"/>
    </row>
    <row r="149" spans="1:6" ht="15" customHeight="1" x14ac:dyDescent="0.2">
      <c r="A149" s="460"/>
      <c r="B149" s="469"/>
      <c r="C149" s="470"/>
      <c r="D149" s="460"/>
      <c r="E149" s="460" t="str">
        <f t="shared" si="1"/>
        <v/>
      </c>
      <c r="F149" s="459"/>
    </row>
    <row r="150" spans="1:6" ht="15" customHeight="1" x14ac:dyDescent="0.2">
      <c r="A150" s="460"/>
      <c r="B150" s="469"/>
      <c r="C150" s="470"/>
      <c r="D150" s="460"/>
      <c r="E150" s="460" t="str">
        <f t="shared" si="1"/>
        <v/>
      </c>
    </row>
    <row r="151" spans="1:6" ht="15" customHeight="1" x14ac:dyDescent="0.2">
      <c r="A151" s="460"/>
      <c r="B151" s="469"/>
      <c r="C151" s="470"/>
      <c r="D151" s="460"/>
      <c r="E151" s="460" t="str">
        <f t="shared" si="1"/>
        <v/>
      </c>
    </row>
    <row r="152" spans="1:6" ht="15" customHeight="1" x14ac:dyDescent="0.2">
      <c r="A152" s="460"/>
      <c r="B152" s="469"/>
      <c r="C152" s="470"/>
      <c r="D152" s="460"/>
      <c r="E152" s="460" t="str">
        <f t="shared" si="1"/>
        <v/>
      </c>
      <c r="F152" s="458"/>
    </row>
    <row r="153" spans="1:6" ht="15" customHeight="1" x14ac:dyDescent="0.2">
      <c r="A153" s="460"/>
      <c r="B153" s="469"/>
      <c r="C153" s="470"/>
      <c r="D153" s="460"/>
      <c r="E153" s="460" t="str">
        <f t="shared" si="1"/>
        <v/>
      </c>
    </row>
    <row r="154" spans="1:6" ht="15" customHeight="1" x14ac:dyDescent="0.2">
      <c r="A154" s="460"/>
      <c r="B154" s="469"/>
      <c r="C154" s="470"/>
      <c r="D154" s="460"/>
      <c r="E154" s="460" t="str">
        <f t="shared" si="1"/>
        <v/>
      </c>
    </row>
    <row r="155" spans="1:6" ht="15" customHeight="1" x14ac:dyDescent="0.2">
      <c r="A155" s="460"/>
      <c r="B155" s="469"/>
      <c r="C155" s="470"/>
      <c r="D155" s="460"/>
      <c r="E155" s="460" t="str">
        <f>IFERROR(VLOOKUP(D155,Tabla_Indices,5,FALSE),"")</f>
        <v/>
      </c>
      <c r="F155" s="458"/>
    </row>
    <row r="156" spans="1:6" ht="15" customHeight="1" x14ac:dyDescent="0.2">
      <c r="A156" s="460"/>
      <c r="B156" s="469"/>
      <c r="C156" s="470"/>
      <c r="D156" s="460"/>
      <c r="E156" s="460" t="str">
        <f>IFERROR(VLOOKUP(D156,Tabla_Indices,5,FALSE),"")</f>
        <v/>
      </c>
      <c r="F156" s="458"/>
    </row>
    <row r="157" spans="1:6" ht="15" customHeight="1" x14ac:dyDescent="0.2">
      <c r="A157" s="460"/>
      <c r="B157" s="469"/>
      <c r="C157" s="470"/>
      <c r="D157" s="460"/>
      <c r="E157" s="460" t="str">
        <f t="shared" si="1"/>
        <v/>
      </c>
    </row>
    <row r="158" spans="1:6" ht="15" customHeight="1" x14ac:dyDescent="0.2">
      <c r="A158" s="460"/>
      <c r="B158" s="469"/>
      <c r="C158" s="470"/>
      <c r="D158" s="460"/>
      <c r="E158" s="460" t="str">
        <f t="shared" si="1"/>
        <v/>
      </c>
    </row>
    <row r="159" spans="1:6" ht="15" customHeight="1" x14ac:dyDescent="0.2">
      <c r="A159" s="460"/>
      <c r="B159" s="469"/>
      <c r="C159" s="470"/>
      <c r="D159" s="460"/>
      <c r="E159" s="460" t="str">
        <f t="shared" si="1"/>
        <v/>
      </c>
    </row>
    <row r="160" spans="1:6" ht="15" customHeight="1" x14ac:dyDescent="0.2">
      <c r="A160" s="460"/>
      <c r="B160" s="469"/>
      <c r="C160" s="470"/>
      <c r="D160" s="460"/>
      <c r="E160" s="460" t="str">
        <f t="shared" si="1"/>
        <v/>
      </c>
    </row>
    <row r="161" spans="1:5" ht="15" customHeight="1" x14ac:dyDescent="0.2">
      <c r="A161" s="460"/>
      <c r="B161" s="469"/>
      <c r="C161" s="470"/>
      <c r="D161" s="460"/>
      <c r="E161" s="460" t="str">
        <f t="shared" si="1"/>
        <v/>
      </c>
    </row>
    <row r="162" spans="1:5" ht="15" customHeight="1" x14ac:dyDescent="0.2">
      <c r="A162" s="460"/>
      <c r="B162" s="469"/>
      <c r="C162" s="470"/>
      <c r="D162" s="460"/>
      <c r="E162" s="460" t="str">
        <f t="shared" si="1"/>
        <v/>
      </c>
    </row>
    <row r="163" spans="1:5" ht="15" customHeight="1" x14ac:dyDescent="0.2">
      <c r="A163" s="460"/>
      <c r="B163" s="469"/>
      <c r="C163" s="470"/>
      <c r="D163" s="460"/>
      <c r="E163" s="460" t="str">
        <f t="shared" si="1"/>
        <v/>
      </c>
    </row>
    <row r="164" spans="1:5" ht="15" customHeight="1" x14ac:dyDescent="0.2">
      <c r="A164" s="460"/>
      <c r="B164" s="469"/>
      <c r="C164" s="470"/>
      <c r="D164" s="460"/>
      <c r="E164" s="460" t="str">
        <f t="shared" si="1"/>
        <v/>
      </c>
    </row>
    <row r="165" spans="1:5" ht="15" customHeight="1" x14ac:dyDescent="0.2">
      <c r="A165" s="460"/>
      <c r="B165" s="469"/>
      <c r="C165" s="470"/>
      <c r="D165" s="460"/>
      <c r="E165" s="460" t="str">
        <f t="shared" si="1"/>
        <v/>
      </c>
    </row>
    <row r="166" spans="1:5" ht="15" customHeight="1" x14ac:dyDescent="0.2">
      <c r="A166" s="460"/>
      <c r="B166" s="469"/>
      <c r="C166" s="470"/>
      <c r="D166" s="460"/>
      <c r="E166" s="460" t="str">
        <f t="shared" si="1"/>
        <v/>
      </c>
    </row>
    <row r="167" spans="1:5" ht="15" customHeight="1" x14ac:dyDescent="0.2">
      <c r="A167" s="460"/>
      <c r="B167" s="469"/>
      <c r="C167" s="470"/>
      <c r="D167" s="460"/>
      <c r="E167" s="460" t="str">
        <f t="shared" si="1"/>
        <v/>
      </c>
    </row>
    <row r="168" spans="1:5" ht="15" customHeight="1" x14ac:dyDescent="0.2">
      <c r="A168" s="460"/>
      <c r="B168" s="469"/>
      <c r="C168" s="470"/>
      <c r="D168" s="460"/>
      <c r="E168" s="460" t="str">
        <f t="shared" si="1"/>
        <v/>
      </c>
    </row>
    <row r="169" spans="1:5" ht="15" customHeight="1" x14ac:dyDescent="0.2">
      <c r="A169" s="460"/>
      <c r="B169" s="469"/>
      <c r="C169" s="470"/>
      <c r="D169" s="460"/>
      <c r="E169" s="460" t="str">
        <f t="shared" si="1"/>
        <v/>
      </c>
    </row>
    <row r="170" spans="1:5" ht="15" customHeight="1" x14ac:dyDescent="0.2">
      <c r="A170" s="460"/>
      <c r="B170" s="469"/>
      <c r="C170" s="470"/>
      <c r="D170" s="460"/>
      <c r="E170" s="460" t="str">
        <f t="shared" ref="E170:E237" si="3">IFERROR(VLOOKUP(D170,Tabla_Indices,5,FALSE),"")</f>
        <v/>
      </c>
    </row>
    <row r="171" spans="1:5" ht="15" customHeight="1" x14ac:dyDescent="0.2">
      <c r="A171" s="460"/>
      <c r="B171" s="469"/>
      <c r="C171" s="470"/>
      <c r="D171" s="460"/>
      <c r="E171" s="460" t="str">
        <f t="shared" si="3"/>
        <v/>
      </c>
    </row>
    <row r="172" spans="1:5" ht="15" customHeight="1" x14ac:dyDescent="0.2">
      <c r="A172" s="460"/>
      <c r="B172" s="469"/>
      <c r="C172" s="470"/>
      <c r="D172" s="460"/>
      <c r="E172" s="460" t="str">
        <f t="shared" si="3"/>
        <v/>
      </c>
    </row>
    <row r="173" spans="1:5" ht="15" customHeight="1" x14ac:dyDescent="0.2">
      <c r="A173" s="460"/>
      <c r="B173" s="469"/>
      <c r="C173" s="470"/>
      <c r="D173" s="460"/>
      <c r="E173" s="460" t="str">
        <f t="shared" si="3"/>
        <v/>
      </c>
    </row>
    <row r="174" spans="1:5" ht="15" customHeight="1" x14ac:dyDescent="0.2">
      <c r="A174" s="460"/>
      <c r="B174" s="469"/>
      <c r="C174" s="470"/>
      <c r="D174" s="460"/>
      <c r="E174" s="460" t="str">
        <f t="shared" si="3"/>
        <v/>
      </c>
    </row>
    <row r="175" spans="1:5" ht="15" customHeight="1" x14ac:dyDescent="0.2">
      <c r="A175" s="460"/>
      <c r="B175" s="469"/>
      <c r="C175" s="470"/>
      <c r="D175" s="460"/>
      <c r="E175" s="460" t="str">
        <f t="shared" si="3"/>
        <v/>
      </c>
    </row>
    <row r="176" spans="1:5" ht="15" customHeight="1" x14ac:dyDescent="0.2">
      <c r="A176" s="460"/>
      <c r="B176" s="469"/>
      <c r="C176" s="470"/>
      <c r="D176" s="460"/>
      <c r="E176" s="460" t="str">
        <f t="shared" si="3"/>
        <v/>
      </c>
    </row>
    <row r="177" spans="1:5" ht="15" customHeight="1" x14ac:dyDescent="0.2">
      <c r="A177" s="460"/>
      <c r="B177" s="469"/>
      <c r="C177" s="470"/>
      <c r="D177" s="460"/>
      <c r="E177" s="460" t="str">
        <f t="shared" si="3"/>
        <v/>
      </c>
    </row>
    <row r="178" spans="1:5" ht="15" customHeight="1" x14ac:dyDescent="0.2">
      <c r="A178" s="460"/>
      <c r="B178" s="469"/>
      <c r="C178" s="470"/>
      <c r="D178" s="460"/>
      <c r="E178" s="460" t="str">
        <f t="shared" si="3"/>
        <v/>
      </c>
    </row>
    <row r="179" spans="1:5" ht="15" customHeight="1" x14ac:dyDescent="0.2">
      <c r="A179" s="460"/>
      <c r="B179" s="469"/>
      <c r="C179" s="470"/>
      <c r="D179" s="460"/>
      <c r="E179" s="460" t="str">
        <f t="shared" si="3"/>
        <v/>
      </c>
    </row>
    <row r="180" spans="1:5" ht="15" customHeight="1" x14ac:dyDescent="0.2">
      <c r="A180" s="460"/>
      <c r="B180" s="469"/>
      <c r="C180" s="470"/>
      <c r="D180" s="460"/>
      <c r="E180" s="460" t="str">
        <f t="shared" si="3"/>
        <v/>
      </c>
    </row>
    <row r="181" spans="1:5" ht="15" customHeight="1" x14ac:dyDescent="0.2">
      <c r="A181" s="460"/>
      <c r="B181" s="469"/>
      <c r="C181" s="470"/>
      <c r="D181" s="460"/>
      <c r="E181" s="460" t="str">
        <f t="shared" si="3"/>
        <v/>
      </c>
    </row>
    <row r="182" spans="1:5" ht="15" customHeight="1" x14ac:dyDescent="0.2">
      <c r="A182" s="460"/>
      <c r="B182" s="469"/>
      <c r="C182" s="470"/>
      <c r="D182" s="460"/>
      <c r="E182" s="460" t="str">
        <f>IFERROR(VLOOKUP(D182,Tabla_Indices,5,FALSE),"")</f>
        <v/>
      </c>
    </row>
    <row r="183" spans="1:5" ht="15" customHeight="1" x14ac:dyDescent="0.2">
      <c r="A183" s="460"/>
      <c r="B183" s="469"/>
      <c r="C183" s="470"/>
      <c r="D183" s="460"/>
      <c r="E183" s="460" t="str">
        <f>IFERROR(VLOOKUP(D183,Tabla_Indices,5,FALSE),"")</f>
        <v/>
      </c>
    </row>
    <row r="184" spans="1:5" ht="15" customHeight="1" x14ac:dyDescent="0.2">
      <c r="A184" s="460"/>
      <c r="B184" s="469"/>
      <c r="C184" s="470"/>
      <c r="D184" s="460"/>
      <c r="E184" s="460" t="str">
        <f>IFERROR(VLOOKUP(D184,Tabla_Indices,5,FALSE),"")</f>
        <v/>
      </c>
    </row>
    <row r="185" spans="1:5" ht="15" customHeight="1" x14ac:dyDescent="0.2">
      <c r="A185" s="460"/>
      <c r="B185" s="469"/>
      <c r="C185" s="470"/>
      <c r="D185" s="460"/>
      <c r="E185" s="460" t="str">
        <f>IFERROR(VLOOKUP(D185,Tabla_Indices,5,FALSE),"")</f>
        <v/>
      </c>
    </row>
    <row r="187" spans="1:5" ht="15" customHeight="1" x14ac:dyDescent="0.2">
      <c r="E187" s="465" t="str">
        <f t="shared" si="3"/>
        <v/>
      </c>
    </row>
    <row r="188" spans="1:5" ht="15" customHeight="1" x14ac:dyDescent="0.2">
      <c r="A188" s="466" t="s">
        <v>1186</v>
      </c>
      <c r="E188" s="465" t="str">
        <f t="shared" si="3"/>
        <v/>
      </c>
    </row>
    <row r="189" spans="1:5" ht="15" customHeight="1" x14ac:dyDescent="0.2">
      <c r="A189" s="460"/>
      <c r="B189" s="469"/>
      <c r="C189" s="470"/>
      <c r="D189" s="460"/>
      <c r="E189" s="460" t="str">
        <f t="shared" si="3"/>
        <v/>
      </c>
    </row>
    <row r="190" spans="1:5" ht="15" customHeight="1" x14ac:dyDescent="0.2">
      <c r="A190" s="460"/>
      <c r="B190" s="469"/>
      <c r="C190" s="470"/>
      <c r="D190" s="460"/>
      <c r="E190" s="460" t="str">
        <f t="shared" si="3"/>
        <v/>
      </c>
    </row>
    <row r="191" spans="1:5" ht="15" customHeight="1" x14ac:dyDescent="0.2">
      <c r="A191" s="460"/>
      <c r="B191" s="469"/>
      <c r="C191" s="470"/>
      <c r="D191" s="460"/>
      <c r="E191" s="460" t="str">
        <f t="shared" si="3"/>
        <v/>
      </c>
    </row>
    <row r="192" spans="1:5" ht="15" customHeight="1" x14ac:dyDescent="0.2">
      <c r="A192" s="460"/>
      <c r="B192" s="469"/>
      <c r="C192" s="470"/>
      <c r="D192" s="460"/>
      <c r="E192" s="460" t="str">
        <f t="shared" si="3"/>
        <v/>
      </c>
    </row>
    <row r="193" spans="1:5" ht="15" customHeight="1" x14ac:dyDescent="0.2">
      <c r="A193" s="460"/>
      <c r="B193" s="469"/>
      <c r="C193" s="470"/>
      <c r="D193" s="460"/>
      <c r="E193" s="460" t="str">
        <f t="shared" si="3"/>
        <v/>
      </c>
    </row>
    <row r="194" spans="1:5" ht="15" customHeight="1" x14ac:dyDescent="0.2">
      <c r="A194" s="460"/>
      <c r="B194" s="469"/>
      <c r="C194" s="470"/>
      <c r="D194" s="460"/>
      <c r="E194" s="460" t="str">
        <f t="shared" si="3"/>
        <v/>
      </c>
    </row>
    <row r="195" spans="1:5" ht="15" customHeight="1" x14ac:dyDescent="0.2">
      <c r="A195" s="460"/>
      <c r="B195" s="469"/>
      <c r="C195" s="470"/>
      <c r="D195" s="460"/>
      <c r="E195" s="460" t="str">
        <f t="shared" si="3"/>
        <v/>
      </c>
    </row>
    <row r="196" spans="1:5" ht="15" customHeight="1" x14ac:dyDescent="0.2">
      <c r="A196" s="460"/>
      <c r="B196" s="469"/>
      <c r="C196" s="470"/>
      <c r="D196" s="460"/>
      <c r="E196" s="460" t="str">
        <f t="shared" si="3"/>
        <v/>
      </c>
    </row>
    <row r="197" spans="1:5" ht="15" customHeight="1" x14ac:dyDescent="0.2">
      <c r="A197" s="460"/>
      <c r="B197" s="469"/>
      <c r="C197" s="470"/>
      <c r="D197" s="460"/>
      <c r="E197" s="460" t="str">
        <f t="shared" si="3"/>
        <v/>
      </c>
    </row>
    <row r="198" spans="1:5" ht="15" customHeight="1" x14ac:dyDescent="0.2">
      <c r="A198" s="460"/>
      <c r="B198" s="469"/>
      <c r="C198" s="470"/>
      <c r="D198" s="460"/>
      <c r="E198" s="460" t="str">
        <f t="shared" si="3"/>
        <v/>
      </c>
    </row>
    <row r="199" spans="1:5" ht="15" customHeight="1" x14ac:dyDescent="0.2">
      <c r="A199" s="460"/>
      <c r="B199" s="469"/>
      <c r="C199" s="470"/>
      <c r="D199" s="460"/>
      <c r="E199" s="460" t="str">
        <f t="shared" si="3"/>
        <v/>
      </c>
    </row>
    <row r="200" spans="1:5" ht="15" customHeight="1" x14ac:dyDescent="0.2">
      <c r="A200" s="460"/>
      <c r="B200" s="469"/>
      <c r="C200" s="470"/>
      <c r="D200" s="460"/>
      <c r="E200" s="460" t="str">
        <f t="shared" si="3"/>
        <v/>
      </c>
    </row>
    <row r="201" spans="1:5" ht="15" customHeight="1" x14ac:dyDescent="0.2">
      <c r="A201" s="460"/>
      <c r="B201" s="469"/>
      <c r="C201" s="470"/>
      <c r="D201" s="460"/>
      <c r="E201" s="460" t="str">
        <f t="shared" si="3"/>
        <v/>
      </c>
    </row>
    <row r="202" spans="1:5" ht="15" customHeight="1" x14ac:dyDescent="0.2">
      <c r="A202" s="460"/>
      <c r="B202" s="469"/>
      <c r="C202" s="470"/>
      <c r="D202" s="460"/>
      <c r="E202" s="460" t="str">
        <f t="shared" si="3"/>
        <v/>
      </c>
    </row>
    <row r="203" spans="1:5" ht="15" customHeight="1" x14ac:dyDescent="0.2">
      <c r="A203" s="460"/>
      <c r="B203" s="469"/>
      <c r="C203" s="470"/>
      <c r="D203" s="460"/>
      <c r="E203" s="460" t="str">
        <f t="shared" si="3"/>
        <v/>
      </c>
    </row>
    <row r="204" spans="1:5" ht="15" customHeight="1" x14ac:dyDescent="0.2">
      <c r="A204" s="460"/>
      <c r="B204" s="469"/>
      <c r="C204" s="470"/>
      <c r="D204" s="460"/>
      <c r="E204" s="460" t="str">
        <f t="shared" si="3"/>
        <v/>
      </c>
    </row>
    <row r="205" spans="1:5" ht="15" customHeight="1" x14ac:dyDescent="0.2">
      <c r="A205" s="460"/>
      <c r="B205" s="469"/>
      <c r="C205" s="470"/>
      <c r="D205" s="460"/>
      <c r="E205" s="460" t="str">
        <f t="shared" si="3"/>
        <v/>
      </c>
    </row>
    <row r="206" spans="1:5" ht="15" customHeight="1" x14ac:dyDescent="0.2">
      <c r="A206" s="460"/>
      <c r="B206" s="469"/>
      <c r="C206" s="470"/>
      <c r="D206" s="460"/>
      <c r="E206" s="460" t="str">
        <f t="shared" si="3"/>
        <v/>
      </c>
    </row>
    <row r="207" spans="1:5" ht="15" customHeight="1" x14ac:dyDescent="0.2">
      <c r="A207" s="460"/>
      <c r="B207" s="469"/>
      <c r="C207" s="470"/>
      <c r="D207" s="460"/>
      <c r="E207" s="460" t="str">
        <f t="shared" si="3"/>
        <v/>
      </c>
    </row>
    <row r="208" spans="1:5" ht="15" customHeight="1" x14ac:dyDescent="0.2">
      <c r="A208" s="460"/>
      <c r="B208" s="469"/>
      <c r="C208" s="470"/>
      <c r="D208" s="460"/>
      <c r="E208" s="460" t="str">
        <f t="shared" si="3"/>
        <v/>
      </c>
    </row>
    <row r="209" spans="1:5" ht="15" customHeight="1" x14ac:dyDescent="0.2">
      <c r="A209" s="460"/>
      <c r="B209" s="469"/>
      <c r="C209" s="470"/>
      <c r="D209" s="460"/>
      <c r="E209" s="460" t="str">
        <f t="shared" si="3"/>
        <v/>
      </c>
    </row>
    <row r="210" spans="1:5" ht="15" customHeight="1" x14ac:dyDescent="0.2">
      <c r="A210" s="460"/>
      <c r="B210" s="469"/>
      <c r="C210" s="470"/>
      <c r="D210" s="460"/>
      <c r="E210" s="460" t="str">
        <f t="shared" si="3"/>
        <v/>
      </c>
    </row>
    <row r="211" spans="1:5" ht="15" customHeight="1" x14ac:dyDescent="0.2">
      <c r="A211" s="460"/>
      <c r="B211" s="469"/>
      <c r="C211" s="470"/>
      <c r="D211" s="460"/>
      <c r="E211" s="460" t="str">
        <f t="shared" si="3"/>
        <v/>
      </c>
    </row>
    <row r="212" spans="1:5" ht="15" customHeight="1" x14ac:dyDescent="0.2">
      <c r="A212" s="460"/>
      <c r="B212" s="469"/>
      <c r="C212" s="470"/>
      <c r="D212" s="460"/>
      <c r="E212" s="460" t="str">
        <f t="shared" si="3"/>
        <v/>
      </c>
    </row>
    <row r="213" spans="1:5" ht="15" customHeight="1" x14ac:dyDescent="0.2">
      <c r="A213" s="460"/>
      <c r="B213" s="469"/>
      <c r="C213" s="470"/>
      <c r="D213" s="460"/>
      <c r="E213" s="460" t="str">
        <f t="shared" si="3"/>
        <v/>
      </c>
    </row>
    <row r="214" spans="1:5" ht="15" customHeight="1" x14ac:dyDescent="0.2">
      <c r="A214" s="460"/>
      <c r="B214" s="469"/>
      <c r="C214" s="470"/>
      <c r="D214" s="460"/>
      <c r="E214" s="460" t="str">
        <f t="shared" si="3"/>
        <v/>
      </c>
    </row>
    <row r="215" spans="1:5" ht="15" customHeight="1" x14ac:dyDescent="0.2">
      <c r="A215" s="460"/>
      <c r="B215" s="469"/>
      <c r="C215" s="470"/>
      <c r="D215" s="460"/>
      <c r="E215" s="460" t="str">
        <f t="shared" si="3"/>
        <v/>
      </c>
    </row>
    <row r="216" spans="1:5" ht="15" customHeight="1" x14ac:dyDescent="0.2">
      <c r="A216" s="460"/>
      <c r="B216" s="469"/>
      <c r="C216" s="470"/>
      <c r="D216" s="460"/>
      <c r="E216" s="460" t="str">
        <f t="shared" si="3"/>
        <v/>
      </c>
    </row>
    <row r="217" spans="1:5" ht="15" customHeight="1" x14ac:dyDescent="0.2">
      <c r="A217" s="460"/>
      <c r="B217" s="469"/>
      <c r="C217" s="470"/>
      <c r="D217" s="460"/>
      <c r="E217" s="460" t="str">
        <f t="shared" si="3"/>
        <v/>
      </c>
    </row>
    <row r="218" spans="1:5" ht="15" customHeight="1" x14ac:dyDescent="0.2">
      <c r="A218" s="460"/>
      <c r="B218" s="469"/>
      <c r="C218" s="470"/>
      <c r="D218" s="460"/>
      <c r="E218" s="460" t="str">
        <f t="shared" si="3"/>
        <v/>
      </c>
    </row>
    <row r="219" spans="1:5" ht="15" customHeight="1" x14ac:dyDescent="0.2">
      <c r="A219" s="460"/>
      <c r="B219" s="469"/>
      <c r="C219" s="470"/>
      <c r="D219" s="460"/>
      <c r="E219" s="460" t="str">
        <f t="shared" si="3"/>
        <v/>
      </c>
    </row>
    <row r="220" spans="1:5" ht="15" customHeight="1" x14ac:dyDescent="0.2">
      <c r="A220" s="460"/>
      <c r="B220" s="469"/>
      <c r="C220" s="470"/>
      <c r="D220" s="460"/>
      <c r="E220" s="460" t="str">
        <f t="shared" si="3"/>
        <v/>
      </c>
    </row>
    <row r="221" spans="1:5" ht="15" customHeight="1" x14ac:dyDescent="0.2">
      <c r="A221" s="460"/>
      <c r="B221" s="469"/>
      <c r="C221" s="470"/>
      <c r="D221" s="460"/>
      <c r="E221" s="460" t="str">
        <f t="shared" si="3"/>
        <v/>
      </c>
    </row>
    <row r="222" spans="1:5" ht="15" customHeight="1" x14ac:dyDescent="0.2">
      <c r="A222" s="460"/>
      <c r="B222" s="469"/>
      <c r="C222" s="470"/>
      <c r="D222" s="460"/>
      <c r="E222" s="460" t="str">
        <f t="shared" si="3"/>
        <v/>
      </c>
    </row>
    <row r="223" spans="1:5" ht="15" customHeight="1" x14ac:dyDescent="0.2">
      <c r="A223" s="460"/>
      <c r="B223" s="469"/>
      <c r="C223" s="470"/>
      <c r="D223" s="460"/>
      <c r="E223" s="460" t="str">
        <f t="shared" si="3"/>
        <v/>
      </c>
    </row>
    <row r="224" spans="1:5" ht="15" customHeight="1" x14ac:dyDescent="0.2">
      <c r="A224" s="460"/>
      <c r="B224" s="469"/>
      <c r="C224" s="470"/>
      <c r="D224" s="460"/>
      <c r="E224" s="460" t="str">
        <f t="shared" si="3"/>
        <v/>
      </c>
    </row>
    <row r="225" spans="1:5" ht="15" customHeight="1" x14ac:dyDescent="0.2">
      <c r="A225" s="460"/>
      <c r="B225" s="469"/>
      <c r="C225" s="470"/>
      <c r="D225" s="460"/>
      <c r="E225" s="460" t="str">
        <f t="shared" si="3"/>
        <v/>
      </c>
    </row>
    <row r="226" spans="1:5" ht="15" customHeight="1" x14ac:dyDescent="0.2">
      <c r="C226" s="470"/>
      <c r="E226" s="465" t="str">
        <f t="shared" si="3"/>
        <v/>
      </c>
    </row>
    <row r="227" spans="1:5" ht="15" customHeight="1" x14ac:dyDescent="0.2">
      <c r="A227" s="466" t="s">
        <v>1250</v>
      </c>
      <c r="C227" s="470"/>
      <c r="E227" s="465" t="str">
        <f t="shared" si="3"/>
        <v/>
      </c>
    </row>
    <row r="228" spans="1:5" ht="15" customHeight="1" x14ac:dyDescent="0.2">
      <c r="A228" s="460"/>
      <c r="B228" s="469"/>
      <c r="C228" s="470"/>
      <c r="D228" s="460"/>
      <c r="E228" s="460" t="str">
        <f t="shared" si="3"/>
        <v/>
      </c>
    </row>
    <row r="229" spans="1:5" ht="15" customHeight="1" x14ac:dyDescent="0.2">
      <c r="A229" s="460"/>
      <c r="B229" s="469"/>
      <c r="C229" s="470"/>
      <c r="D229" s="460"/>
      <c r="E229" s="460" t="str">
        <f t="shared" si="3"/>
        <v/>
      </c>
    </row>
    <row r="230" spans="1:5" ht="15" customHeight="1" x14ac:dyDescent="0.2">
      <c r="A230" s="460"/>
      <c r="B230" s="469"/>
      <c r="C230" s="470"/>
      <c r="D230" s="460"/>
      <c r="E230" s="460" t="str">
        <f t="shared" si="3"/>
        <v/>
      </c>
    </row>
    <row r="231" spans="1:5" ht="15" customHeight="1" x14ac:dyDescent="0.2">
      <c r="A231" s="460"/>
      <c r="B231" s="469"/>
      <c r="C231" s="470"/>
      <c r="D231" s="460"/>
      <c r="E231" s="460" t="str">
        <f t="shared" si="3"/>
        <v/>
      </c>
    </row>
    <row r="232" spans="1:5" ht="15" customHeight="1" x14ac:dyDescent="0.2">
      <c r="A232" s="460"/>
      <c r="B232" s="469"/>
      <c r="C232" s="470"/>
      <c r="D232" s="460"/>
      <c r="E232" s="460" t="str">
        <f t="shared" si="3"/>
        <v/>
      </c>
    </row>
    <row r="233" spans="1:5" ht="15" customHeight="1" x14ac:dyDescent="0.2">
      <c r="A233" s="460"/>
      <c r="B233" s="469"/>
      <c r="C233" s="470"/>
      <c r="D233" s="460"/>
      <c r="E233" s="460" t="str">
        <f t="shared" si="3"/>
        <v/>
      </c>
    </row>
    <row r="234" spans="1:5" ht="15" customHeight="1" x14ac:dyDescent="0.2">
      <c r="A234" s="460"/>
      <c r="B234" s="469"/>
      <c r="C234" s="470"/>
      <c r="D234" s="460"/>
      <c r="E234" s="460" t="str">
        <f t="shared" si="3"/>
        <v/>
      </c>
    </row>
    <row r="235" spans="1:5" ht="15" customHeight="1" x14ac:dyDescent="0.2">
      <c r="A235" s="460"/>
      <c r="B235" s="469"/>
      <c r="C235" s="470"/>
      <c r="D235" s="460"/>
      <c r="E235" s="460" t="str">
        <f t="shared" si="3"/>
        <v/>
      </c>
    </row>
    <row r="236" spans="1:5" ht="15" customHeight="1" x14ac:dyDescent="0.2">
      <c r="A236" s="460"/>
      <c r="B236" s="469"/>
      <c r="C236" s="470"/>
      <c r="D236" s="460"/>
      <c r="E236" s="460" t="str">
        <f t="shared" si="3"/>
        <v/>
      </c>
    </row>
    <row r="237" spans="1:5" ht="15" customHeight="1" x14ac:dyDescent="0.2">
      <c r="A237" s="460"/>
      <c r="B237" s="469"/>
      <c r="C237" s="470"/>
      <c r="D237" s="460"/>
      <c r="E237" s="460" t="str">
        <f t="shared" si="3"/>
        <v/>
      </c>
    </row>
    <row r="238" spans="1:5" ht="15" customHeight="1" x14ac:dyDescent="0.2">
      <c r="A238" s="460"/>
      <c r="B238" s="469"/>
      <c r="C238" s="470"/>
      <c r="D238" s="460"/>
      <c r="E238" s="460" t="str">
        <f t="shared" ref="E238:E304" si="4">IFERROR(VLOOKUP(D238,Tabla_Indices,5,FALSE),"")</f>
        <v/>
      </c>
    </row>
    <row r="239" spans="1:5" ht="15" customHeight="1" x14ac:dyDescent="0.2">
      <c r="A239" s="460"/>
      <c r="B239" s="469"/>
      <c r="C239" s="470"/>
      <c r="D239" s="460"/>
      <c r="E239" s="460" t="str">
        <f t="shared" si="4"/>
        <v/>
      </c>
    </row>
    <row r="240" spans="1:5" ht="15" customHeight="1" x14ac:dyDescent="0.2">
      <c r="A240" s="460"/>
      <c r="B240" s="469"/>
      <c r="C240" s="470"/>
      <c r="D240" s="460"/>
      <c r="E240" s="460" t="str">
        <f t="shared" si="4"/>
        <v/>
      </c>
    </row>
    <row r="241" spans="1:5" ht="15" customHeight="1" x14ac:dyDescent="0.2">
      <c r="A241" s="460"/>
      <c r="B241" s="469"/>
      <c r="C241" s="470"/>
      <c r="D241" s="460"/>
      <c r="E241" s="460" t="str">
        <f t="shared" si="4"/>
        <v/>
      </c>
    </row>
    <row r="242" spans="1:5" ht="15" customHeight="1" x14ac:dyDescent="0.2">
      <c r="A242" s="460"/>
      <c r="B242" s="469"/>
      <c r="C242" s="470"/>
      <c r="D242" s="460"/>
      <c r="E242" s="460" t="str">
        <f t="shared" si="4"/>
        <v/>
      </c>
    </row>
    <row r="243" spans="1:5" ht="15" customHeight="1" x14ac:dyDescent="0.2">
      <c r="A243" s="460"/>
      <c r="B243" s="469"/>
      <c r="C243" s="470"/>
      <c r="D243" s="460"/>
      <c r="E243" s="460" t="str">
        <f t="shared" si="4"/>
        <v/>
      </c>
    </row>
    <row r="244" spans="1:5" ht="15" customHeight="1" x14ac:dyDescent="0.2">
      <c r="C244" s="470"/>
      <c r="E244" s="465" t="str">
        <f t="shared" si="4"/>
        <v/>
      </c>
    </row>
    <row r="245" spans="1:5" ht="15" customHeight="1" x14ac:dyDescent="0.2">
      <c r="A245" s="466" t="s">
        <v>1251</v>
      </c>
      <c r="C245" s="470"/>
      <c r="E245" s="465" t="str">
        <f t="shared" si="4"/>
        <v/>
      </c>
    </row>
    <row r="246" spans="1:5" ht="15" customHeight="1" x14ac:dyDescent="0.2">
      <c r="A246" s="460"/>
      <c r="B246" s="469"/>
      <c r="C246" s="470"/>
      <c r="D246" s="460"/>
      <c r="E246" s="460" t="str">
        <f t="shared" si="4"/>
        <v/>
      </c>
    </row>
    <row r="247" spans="1:5" ht="15" customHeight="1" x14ac:dyDescent="0.2">
      <c r="A247" s="460"/>
      <c r="B247" s="469"/>
      <c r="C247" s="470"/>
      <c r="D247" s="460"/>
      <c r="E247" s="460" t="str">
        <f t="shared" si="4"/>
        <v/>
      </c>
    </row>
    <row r="248" spans="1:5" ht="15" customHeight="1" x14ac:dyDescent="0.2">
      <c r="A248" s="460"/>
      <c r="B248" s="469"/>
      <c r="C248" s="470"/>
      <c r="D248" s="460"/>
      <c r="E248" s="460" t="str">
        <f t="shared" si="4"/>
        <v/>
      </c>
    </row>
    <row r="249" spans="1:5" ht="15" customHeight="1" x14ac:dyDescent="0.2">
      <c r="A249" s="460"/>
      <c r="B249" s="469"/>
      <c r="C249" s="470"/>
      <c r="D249" s="460"/>
      <c r="E249" s="460" t="str">
        <f t="shared" si="4"/>
        <v/>
      </c>
    </row>
    <row r="250" spans="1:5" ht="15" customHeight="1" x14ac:dyDescent="0.2">
      <c r="A250" s="460"/>
      <c r="B250" s="469"/>
      <c r="C250" s="470"/>
      <c r="D250" s="460"/>
      <c r="E250" s="460" t="str">
        <f t="shared" si="4"/>
        <v/>
      </c>
    </row>
    <row r="251" spans="1:5" ht="15" customHeight="1" x14ac:dyDescent="0.2">
      <c r="A251" s="460"/>
      <c r="B251" s="469"/>
      <c r="C251" s="470"/>
      <c r="D251" s="460"/>
      <c r="E251" s="460" t="str">
        <f t="shared" si="4"/>
        <v/>
      </c>
    </row>
    <row r="252" spans="1:5" ht="15" customHeight="1" x14ac:dyDescent="0.2">
      <c r="A252" s="460"/>
      <c r="B252" s="469"/>
      <c r="C252" s="470"/>
      <c r="D252" s="460"/>
      <c r="E252" s="460" t="str">
        <f t="shared" si="4"/>
        <v/>
      </c>
    </row>
    <row r="253" spans="1:5" ht="15" customHeight="1" x14ac:dyDescent="0.2">
      <c r="A253" s="460"/>
      <c r="B253" s="469"/>
      <c r="C253" s="470"/>
      <c r="D253" s="460"/>
      <c r="E253" s="460" t="str">
        <f t="shared" si="4"/>
        <v/>
      </c>
    </row>
    <row r="254" spans="1:5" ht="15" customHeight="1" x14ac:dyDescent="0.2">
      <c r="A254" s="460"/>
      <c r="B254" s="469"/>
      <c r="C254" s="470"/>
      <c r="D254" s="460"/>
      <c r="E254" s="460" t="str">
        <f t="shared" si="4"/>
        <v/>
      </c>
    </row>
    <row r="255" spans="1:5" ht="15" customHeight="1" x14ac:dyDescent="0.2">
      <c r="A255" s="460"/>
      <c r="B255" s="469"/>
      <c r="C255" s="470"/>
      <c r="D255" s="460"/>
      <c r="E255" s="460" t="str">
        <f t="shared" si="4"/>
        <v/>
      </c>
    </row>
    <row r="256" spans="1:5" ht="15" customHeight="1" x14ac:dyDescent="0.2">
      <c r="A256" s="460"/>
      <c r="B256" s="469"/>
      <c r="C256" s="470"/>
      <c r="D256" s="460"/>
      <c r="E256" s="460" t="str">
        <f t="shared" si="4"/>
        <v/>
      </c>
    </row>
    <row r="257" spans="1:5" ht="15" customHeight="1" x14ac:dyDescent="0.2">
      <c r="A257" s="460"/>
      <c r="B257" s="469"/>
      <c r="C257" s="470"/>
      <c r="D257" s="460"/>
      <c r="E257" s="460" t="str">
        <f t="shared" si="4"/>
        <v/>
      </c>
    </row>
    <row r="258" spans="1:5" ht="15" customHeight="1" x14ac:dyDescent="0.2">
      <c r="A258" s="460"/>
      <c r="B258" s="469"/>
      <c r="C258" s="470"/>
      <c r="D258" s="460"/>
      <c r="E258" s="460" t="str">
        <f>IFERROR(VLOOKUP(D258,Tabla_Indices,5,FALSE),"")</f>
        <v/>
      </c>
    </row>
    <row r="259" spans="1:5" ht="15" customHeight="1" x14ac:dyDescent="0.2">
      <c r="A259" s="460"/>
      <c r="B259" s="469"/>
      <c r="C259" s="470"/>
      <c r="D259" s="460"/>
      <c r="E259" s="460" t="str">
        <f t="shared" si="4"/>
        <v/>
      </c>
    </row>
    <row r="260" spans="1:5" ht="15" customHeight="1" x14ac:dyDescent="0.2">
      <c r="A260" s="460"/>
      <c r="B260" s="469"/>
      <c r="C260" s="470"/>
      <c r="D260" s="460"/>
      <c r="E260" s="460" t="str">
        <f t="shared" si="4"/>
        <v/>
      </c>
    </row>
    <row r="261" spans="1:5" ht="15" customHeight="1" x14ac:dyDescent="0.2">
      <c r="A261" s="460"/>
      <c r="B261" s="469"/>
      <c r="C261" s="470"/>
      <c r="D261" s="460"/>
      <c r="E261" s="460" t="str">
        <f t="shared" si="4"/>
        <v/>
      </c>
    </row>
    <row r="262" spans="1:5" ht="15" customHeight="1" x14ac:dyDescent="0.2">
      <c r="A262" s="460"/>
      <c r="B262" s="469"/>
      <c r="C262" s="470"/>
      <c r="D262" s="460"/>
      <c r="E262" s="460" t="str">
        <f t="shared" si="4"/>
        <v/>
      </c>
    </row>
    <row r="263" spans="1:5" ht="15" customHeight="1" x14ac:dyDescent="0.2">
      <c r="A263" s="460"/>
      <c r="B263" s="469"/>
      <c r="C263" s="470"/>
      <c r="D263" s="460"/>
      <c r="E263" s="460" t="str">
        <f t="shared" si="4"/>
        <v/>
      </c>
    </row>
    <row r="264" spans="1:5" ht="15" customHeight="1" x14ac:dyDescent="0.2">
      <c r="A264" s="460"/>
      <c r="B264" s="469"/>
      <c r="C264" s="470"/>
      <c r="D264" s="460"/>
      <c r="E264" s="460" t="str">
        <f t="shared" si="4"/>
        <v/>
      </c>
    </row>
    <row r="265" spans="1:5" ht="15" customHeight="1" x14ac:dyDescent="0.2">
      <c r="A265" s="460"/>
      <c r="B265" s="469"/>
      <c r="C265" s="470"/>
      <c r="D265" s="460"/>
      <c r="E265" s="460" t="str">
        <f t="shared" si="4"/>
        <v/>
      </c>
    </row>
    <row r="266" spans="1:5" ht="15" customHeight="1" x14ac:dyDescent="0.2">
      <c r="A266" s="460"/>
      <c r="B266" s="469"/>
      <c r="C266" s="470"/>
      <c r="D266" s="460"/>
      <c r="E266" s="460" t="str">
        <f t="shared" si="4"/>
        <v/>
      </c>
    </row>
    <row r="267" spans="1:5" ht="15" customHeight="1" x14ac:dyDescent="0.2">
      <c r="A267" s="460"/>
      <c r="B267" s="469"/>
      <c r="C267" s="470"/>
      <c r="D267" s="460"/>
      <c r="E267" s="460" t="str">
        <f t="shared" si="4"/>
        <v/>
      </c>
    </row>
    <row r="268" spans="1:5" ht="15" customHeight="1" x14ac:dyDescent="0.2">
      <c r="A268" s="460"/>
      <c r="B268" s="469"/>
      <c r="C268" s="470"/>
      <c r="D268" s="460"/>
      <c r="E268" s="460" t="str">
        <f t="shared" si="4"/>
        <v/>
      </c>
    </row>
    <row r="269" spans="1:5" ht="15" customHeight="1" x14ac:dyDescent="0.2">
      <c r="A269" s="460"/>
      <c r="B269" s="469"/>
      <c r="C269" s="470"/>
      <c r="D269" s="460"/>
      <c r="E269" s="460" t="str">
        <f t="shared" ref="E269" si="5">IFERROR(VLOOKUP(D269,Tabla_Indices,5,FALSE),"")</f>
        <v/>
      </c>
    </row>
    <row r="270" spans="1:5" ht="15" customHeight="1" x14ac:dyDescent="0.2">
      <c r="A270" s="460"/>
      <c r="B270" s="469"/>
      <c r="C270" s="470"/>
      <c r="D270" s="460"/>
      <c r="E270" s="460" t="str">
        <f t="shared" si="4"/>
        <v/>
      </c>
    </row>
    <row r="271" spans="1:5" ht="15" customHeight="1" x14ac:dyDescent="0.2">
      <c r="A271" s="460"/>
      <c r="B271" s="469"/>
      <c r="C271" s="470"/>
      <c r="D271" s="460"/>
      <c r="E271" s="460" t="str">
        <f t="shared" si="4"/>
        <v/>
      </c>
    </row>
    <row r="272" spans="1:5" ht="15" customHeight="1" x14ac:dyDescent="0.2">
      <c r="A272" s="460"/>
      <c r="B272" s="469"/>
      <c r="C272" s="470"/>
      <c r="D272" s="460"/>
      <c r="E272" s="460" t="str">
        <f t="shared" si="4"/>
        <v/>
      </c>
    </row>
    <row r="273" spans="1:5" ht="15" customHeight="1" x14ac:dyDescent="0.2">
      <c r="A273" s="460"/>
      <c r="B273" s="469"/>
      <c r="C273" s="470"/>
      <c r="D273" s="460"/>
      <c r="E273" s="460" t="str">
        <f t="shared" si="4"/>
        <v/>
      </c>
    </row>
    <row r="274" spans="1:5" ht="15" customHeight="1" x14ac:dyDescent="0.2">
      <c r="A274" s="460"/>
      <c r="B274" s="469"/>
      <c r="C274" s="470"/>
      <c r="D274" s="460"/>
      <c r="E274" s="460" t="str">
        <f t="shared" si="4"/>
        <v/>
      </c>
    </row>
    <row r="275" spans="1:5" ht="15" customHeight="1" x14ac:dyDescent="0.2">
      <c r="A275" s="460"/>
      <c r="B275" s="469"/>
      <c r="C275" s="470"/>
      <c r="D275" s="460"/>
      <c r="E275" s="460" t="str">
        <f t="shared" si="4"/>
        <v/>
      </c>
    </row>
    <row r="276" spans="1:5" ht="15" customHeight="1" x14ac:dyDescent="0.2">
      <c r="A276" s="460"/>
      <c r="B276" s="469"/>
      <c r="C276" s="470"/>
      <c r="D276" s="460"/>
      <c r="E276" s="460" t="str">
        <f>IFERROR(VLOOKUP(D276,Tabla_Indices,5,FALSE),"")</f>
        <v/>
      </c>
    </row>
    <row r="277" spans="1:5" ht="15" customHeight="1" x14ac:dyDescent="0.2">
      <c r="A277" s="460"/>
      <c r="B277" s="469"/>
      <c r="C277" s="470"/>
      <c r="D277" s="460"/>
      <c r="E277" s="460" t="str">
        <f t="shared" si="4"/>
        <v/>
      </c>
    </row>
    <row r="278" spans="1:5" ht="15" customHeight="1" x14ac:dyDescent="0.2">
      <c r="A278" s="460"/>
      <c r="B278" s="469"/>
      <c r="C278" s="470"/>
      <c r="D278" s="460"/>
      <c r="E278" s="460" t="str">
        <f t="shared" si="4"/>
        <v/>
      </c>
    </row>
    <row r="279" spans="1:5" ht="15" customHeight="1" x14ac:dyDescent="0.2">
      <c r="A279" s="460"/>
      <c r="B279" s="469"/>
      <c r="C279" s="470"/>
      <c r="D279" s="460"/>
      <c r="E279" s="460" t="str">
        <f t="shared" si="4"/>
        <v/>
      </c>
    </row>
    <row r="280" spans="1:5" ht="15" customHeight="1" x14ac:dyDescent="0.2">
      <c r="A280" s="460"/>
      <c r="B280" s="469"/>
      <c r="C280" s="470"/>
      <c r="D280" s="460"/>
      <c r="E280" s="460" t="str">
        <f t="shared" si="4"/>
        <v/>
      </c>
    </row>
    <row r="281" spans="1:5" ht="15" customHeight="1" x14ac:dyDescent="0.2">
      <c r="E281" s="465" t="str">
        <f t="shared" si="4"/>
        <v/>
      </c>
    </row>
    <row r="282" spans="1:5" ht="15" customHeight="1" x14ac:dyDescent="0.2">
      <c r="A282" s="466" t="s">
        <v>1138</v>
      </c>
      <c r="E282" s="465" t="str">
        <f t="shared" si="4"/>
        <v/>
      </c>
    </row>
    <row r="283" spans="1:5" ht="15" customHeight="1" x14ac:dyDescent="0.2">
      <c r="A283" s="460"/>
      <c r="B283" s="469"/>
      <c r="C283" s="470"/>
      <c r="D283" s="460"/>
      <c r="E283" s="460" t="str">
        <f t="shared" si="4"/>
        <v/>
      </c>
    </row>
    <row r="284" spans="1:5" ht="15" customHeight="1" x14ac:dyDescent="0.2">
      <c r="A284" s="460"/>
      <c r="B284" s="469"/>
      <c r="C284" s="470"/>
      <c r="D284" s="460"/>
      <c r="E284" s="460" t="str">
        <f t="shared" si="4"/>
        <v/>
      </c>
    </row>
    <row r="285" spans="1:5" ht="15" customHeight="1" x14ac:dyDescent="0.2">
      <c r="A285" s="460"/>
      <c r="B285" s="469"/>
      <c r="C285" s="470"/>
      <c r="D285" s="460"/>
      <c r="E285" s="460" t="str">
        <f t="shared" si="4"/>
        <v/>
      </c>
    </row>
    <row r="286" spans="1:5" ht="15" customHeight="1" x14ac:dyDescent="0.2">
      <c r="A286" s="460"/>
      <c r="B286" s="469"/>
      <c r="C286" s="470"/>
      <c r="D286" s="460"/>
      <c r="E286" s="460" t="str">
        <f t="shared" si="4"/>
        <v/>
      </c>
    </row>
    <row r="287" spans="1:5" ht="15" customHeight="1" x14ac:dyDescent="0.2">
      <c r="A287" s="460"/>
      <c r="B287" s="469"/>
      <c r="C287" s="470"/>
      <c r="D287" s="460"/>
      <c r="E287" s="460" t="str">
        <f t="shared" si="4"/>
        <v/>
      </c>
    </row>
    <row r="288" spans="1:5" ht="15" customHeight="1" x14ac:dyDescent="0.2">
      <c r="A288" s="460"/>
      <c r="B288" s="469"/>
      <c r="C288" s="470"/>
      <c r="D288" s="460"/>
      <c r="E288" s="460" t="str">
        <f t="shared" si="4"/>
        <v/>
      </c>
    </row>
    <row r="289" spans="1:5" ht="15" customHeight="1" x14ac:dyDescent="0.2">
      <c r="A289" s="460"/>
      <c r="B289" s="469"/>
      <c r="C289" s="470"/>
      <c r="D289" s="460"/>
      <c r="E289" s="460" t="str">
        <f t="shared" si="4"/>
        <v/>
      </c>
    </row>
    <row r="290" spans="1:5" ht="15" customHeight="1" x14ac:dyDescent="0.2">
      <c r="A290" s="460"/>
      <c r="B290" s="469"/>
      <c r="C290" s="470"/>
      <c r="D290" s="460"/>
      <c r="E290" s="460" t="str">
        <f t="shared" si="4"/>
        <v/>
      </c>
    </row>
    <row r="291" spans="1:5" ht="15" customHeight="1" x14ac:dyDescent="0.2">
      <c r="A291" s="460"/>
      <c r="B291" s="469"/>
      <c r="C291" s="470"/>
      <c r="D291" s="460"/>
      <c r="E291" s="460" t="str">
        <f t="shared" si="4"/>
        <v/>
      </c>
    </row>
    <row r="292" spans="1:5" ht="15" customHeight="1" x14ac:dyDescent="0.2">
      <c r="A292" s="460"/>
      <c r="B292" s="469"/>
      <c r="C292" s="470"/>
      <c r="D292" s="460"/>
      <c r="E292" s="460" t="str">
        <f t="shared" si="4"/>
        <v/>
      </c>
    </row>
    <row r="293" spans="1:5" ht="15" customHeight="1" x14ac:dyDescent="0.2">
      <c r="A293" s="460"/>
      <c r="B293" s="469"/>
      <c r="C293" s="470"/>
      <c r="D293" s="460"/>
      <c r="E293" s="460" t="str">
        <f t="shared" si="4"/>
        <v/>
      </c>
    </row>
    <row r="294" spans="1:5" ht="15" customHeight="1" x14ac:dyDescent="0.2">
      <c r="A294" s="460"/>
      <c r="B294" s="469"/>
      <c r="C294" s="470"/>
      <c r="D294" s="460"/>
      <c r="E294" s="460" t="str">
        <f t="shared" si="4"/>
        <v/>
      </c>
    </row>
    <row r="295" spans="1:5" ht="15" customHeight="1" x14ac:dyDescent="0.2">
      <c r="A295" s="460"/>
      <c r="B295" s="469"/>
      <c r="C295" s="470"/>
      <c r="D295" s="460"/>
      <c r="E295" s="460" t="str">
        <f t="shared" si="4"/>
        <v/>
      </c>
    </row>
    <row r="296" spans="1:5" ht="15" customHeight="1" x14ac:dyDescent="0.2">
      <c r="A296" s="460"/>
      <c r="B296" s="469"/>
      <c r="C296" s="470"/>
      <c r="D296" s="460"/>
      <c r="E296" s="460" t="str">
        <f t="shared" si="4"/>
        <v/>
      </c>
    </row>
    <row r="297" spans="1:5" ht="15" customHeight="1" x14ac:dyDescent="0.2">
      <c r="A297" s="460"/>
      <c r="B297" s="469"/>
      <c r="C297" s="470"/>
      <c r="D297" s="460"/>
      <c r="E297" s="460" t="str">
        <f t="shared" si="4"/>
        <v/>
      </c>
    </row>
    <row r="298" spans="1:5" ht="15" customHeight="1" x14ac:dyDescent="0.2">
      <c r="A298" s="460"/>
      <c r="B298" s="469"/>
      <c r="C298" s="470"/>
      <c r="D298" s="460"/>
      <c r="E298" s="460" t="str">
        <f t="shared" si="4"/>
        <v/>
      </c>
    </row>
    <row r="299" spans="1:5" ht="15" customHeight="1" x14ac:dyDescent="0.2">
      <c r="A299" s="460"/>
      <c r="B299" s="469"/>
      <c r="C299" s="470"/>
      <c r="D299" s="460"/>
      <c r="E299" s="460" t="str">
        <f t="shared" si="4"/>
        <v/>
      </c>
    </row>
    <row r="300" spans="1:5" ht="15" customHeight="1" x14ac:dyDescent="0.2">
      <c r="A300" s="460"/>
      <c r="B300" s="469"/>
      <c r="C300" s="470"/>
      <c r="D300" s="460"/>
      <c r="E300" s="460" t="str">
        <f t="shared" si="4"/>
        <v/>
      </c>
    </row>
    <row r="301" spans="1:5" ht="15" customHeight="1" x14ac:dyDescent="0.2">
      <c r="A301" s="460"/>
      <c r="B301" s="469"/>
      <c r="C301" s="470"/>
      <c r="D301" s="460"/>
      <c r="E301" s="460" t="str">
        <f t="shared" si="4"/>
        <v/>
      </c>
    </row>
    <row r="302" spans="1:5" ht="15" customHeight="1" x14ac:dyDescent="0.2">
      <c r="A302" s="460"/>
      <c r="B302" s="469"/>
      <c r="C302" s="470"/>
      <c r="D302" s="460"/>
      <c r="E302" s="460" t="str">
        <f t="shared" si="4"/>
        <v/>
      </c>
    </row>
    <row r="303" spans="1:5" ht="15" customHeight="1" x14ac:dyDescent="0.2">
      <c r="A303" s="460"/>
      <c r="B303" s="469"/>
      <c r="C303" s="470"/>
      <c r="D303" s="460"/>
      <c r="E303" s="460" t="str">
        <f t="shared" si="4"/>
        <v/>
      </c>
    </row>
    <row r="304" spans="1:5" ht="15" customHeight="1" x14ac:dyDescent="0.2">
      <c r="A304" s="460"/>
      <c r="B304" s="469"/>
      <c r="C304" s="470"/>
      <c r="D304" s="460"/>
      <c r="E304" s="460" t="str">
        <f t="shared" si="4"/>
        <v/>
      </c>
    </row>
    <row r="305" spans="1:5" ht="15" customHeight="1" x14ac:dyDescent="0.2">
      <c r="A305" s="460"/>
      <c r="B305" s="469"/>
      <c r="C305" s="470"/>
      <c r="D305" s="460"/>
      <c r="E305" s="460" t="str">
        <f t="shared" ref="E305:E426" si="6">IFERROR(VLOOKUP(D305,Tabla_Indices,5,FALSE),"")</f>
        <v/>
      </c>
    </row>
    <row r="306" spans="1:5" ht="15" customHeight="1" x14ac:dyDescent="0.2">
      <c r="A306" s="460"/>
      <c r="B306" s="469"/>
      <c r="C306" s="470"/>
      <c r="D306" s="460"/>
      <c r="E306" s="460" t="str">
        <f t="shared" si="6"/>
        <v/>
      </c>
    </row>
    <row r="307" spans="1:5" ht="15" customHeight="1" x14ac:dyDescent="0.2">
      <c r="A307" s="460"/>
      <c r="B307" s="469"/>
      <c r="C307" s="470"/>
      <c r="D307" s="460"/>
      <c r="E307" s="460" t="str">
        <f t="shared" si="6"/>
        <v/>
      </c>
    </row>
    <row r="308" spans="1:5" ht="15" customHeight="1" x14ac:dyDescent="0.2">
      <c r="A308" s="460"/>
      <c r="B308" s="469"/>
      <c r="C308" s="470"/>
      <c r="D308" s="460"/>
      <c r="E308" s="460" t="str">
        <f t="shared" si="6"/>
        <v/>
      </c>
    </row>
    <row r="309" spans="1:5" ht="15" customHeight="1" x14ac:dyDescent="0.2">
      <c r="A309" s="460"/>
      <c r="B309" s="469"/>
      <c r="C309" s="470"/>
      <c r="D309" s="460"/>
      <c r="E309" s="460" t="str">
        <f t="shared" si="6"/>
        <v/>
      </c>
    </row>
    <row r="310" spans="1:5" ht="15" customHeight="1" x14ac:dyDescent="0.2">
      <c r="A310" s="460"/>
      <c r="B310" s="469"/>
      <c r="C310" s="470"/>
      <c r="D310" s="460"/>
      <c r="E310" s="460" t="str">
        <f>IFERROR(VLOOKUP(D310,Tabla_Indices,5,FALSE),"")</f>
        <v/>
      </c>
    </row>
    <row r="311" spans="1:5" ht="15" customHeight="1" x14ac:dyDescent="0.2">
      <c r="A311" s="460"/>
      <c r="B311" s="469"/>
      <c r="C311" s="470"/>
      <c r="D311" s="460"/>
      <c r="E311" s="460" t="str">
        <f t="shared" si="6"/>
        <v/>
      </c>
    </row>
    <row r="312" spans="1:5" ht="15" customHeight="1" x14ac:dyDescent="0.2">
      <c r="A312" s="460"/>
      <c r="B312" s="469"/>
      <c r="C312" s="470"/>
      <c r="D312" s="460"/>
      <c r="E312" s="460" t="str">
        <f t="shared" si="6"/>
        <v/>
      </c>
    </row>
    <row r="313" spans="1:5" ht="15" customHeight="1" x14ac:dyDescent="0.2">
      <c r="A313" s="460"/>
      <c r="B313" s="469"/>
      <c r="C313" s="470"/>
      <c r="D313" s="460"/>
      <c r="E313" s="460" t="str">
        <f t="shared" si="6"/>
        <v/>
      </c>
    </row>
    <row r="314" spans="1:5" ht="15" customHeight="1" x14ac:dyDescent="0.2">
      <c r="A314" s="460"/>
      <c r="B314" s="469"/>
      <c r="C314" s="470"/>
      <c r="D314" s="460"/>
      <c r="E314" s="460" t="str">
        <f t="shared" si="6"/>
        <v/>
      </c>
    </row>
    <row r="315" spans="1:5" ht="15" customHeight="1" x14ac:dyDescent="0.2">
      <c r="A315" s="460"/>
      <c r="B315" s="469"/>
      <c r="C315" s="470"/>
      <c r="D315" s="460"/>
      <c r="E315" s="460" t="str">
        <f t="shared" si="6"/>
        <v/>
      </c>
    </row>
    <row r="316" spans="1:5" ht="15" customHeight="1" x14ac:dyDescent="0.2">
      <c r="A316" s="460"/>
      <c r="B316" s="469"/>
      <c r="C316" s="470"/>
      <c r="D316" s="460"/>
      <c r="E316" s="460" t="str">
        <f t="shared" si="6"/>
        <v/>
      </c>
    </row>
    <row r="317" spans="1:5" ht="15" customHeight="1" x14ac:dyDescent="0.2">
      <c r="A317" s="460"/>
      <c r="B317" s="469"/>
      <c r="C317" s="470"/>
      <c r="D317" s="460"/>
      <c r="E317" s="460" t="str">
        <f t="shared" si="6"/>
        <v/>
      </c>
    </row>
    <row r="318" spans="1:5" ht="15" customHeight="1" x14ac:dyDescent="0.2">
      <c r="A318" s="460"/>
      <c r="B318" s="469"/>
      <c r="C318" s="470"/>
      <c r="D318" s="460"/>
      <c r="E318" s="460" t="str">
        <f t="shared" si="6"/>
        <v/>
      </c>
    </row>
    <row r="319" spans="1:5" ht="15" customHeight="1" x14ac:dyDescent="0.2">
      <c r="A319" s="460"/>
      <c r="B319" s="469"/>
      <c r="C319" s="470"/>
      <c r="D319" s="460"/>
      <c r="E319" s="460" t="str">
        <f t="shared" si="6"/>
        <v/>
      </c>
    </row>
    <row r="320" spans="1:5" ht="15" customHeight="1" x14ac:dyDescent="0.2">
      <c r="A320" s="460"/>
      <c r="B320" s="469"/>
      <c r="C320" s="470"/>
      <c r="D320" s="460"/>
      <c r="E320" s="460" t="str">
        <f t="shared" si="6"/>
        <v/>
      </c>
    </row>
    <row r="321" spans="1:5" ht="15" customHeight="1" x14ac:dyDescent="0.2">
      <c r="A321" s="460"/>
      <c r="B321" s="469"/>
      <c r="C321" s="470"/>
      <c r="D321" s="460"/>
      <c r="E321" s="460" t="str">
        <f t="shared" si="6"/>
        <v/>
      </c>
    </row>
    <row r="322" spans="1:5" ht="15" customHeight="1" x14ac:dyDescent="0.2">
      <c r="A322" s="460"/>
      <c r="B322" s="469"/>
      <c r="C322" s="470"/>
      <c r="D322" s="460"/>
      <c r="E322" s="460" t="str">
        <f t="shared" si="6"/>
        <v/>
      </c>
    </row>
    <row r="323" spans="1:5" ht="15" customHeight="1" x14ac:dyDescent="0.2">
      <c r="A323" s="460"/>
      <c r="B323" s="469"/>
      <c r="C323" s="470"/>
      <c r="D323" s="460"/>
      <c r="E323" s="460" t="str">
        <f t="shared" si="6"/>
        <v/>
      </c>
    </row>
    <row r="324" spans="1:5" ht="15" customHeight="1" x14ac:dyDescent="0.2">
      <c r="A324" s="460"/>
      <c r="B324" s="469"/>
      <c r="C324" s="470"/>
      <c r="D324" s="460"/>
      <c r="E324" s="460" t="str">
        <f t="shared" si="6"/>
        <v/>
      </c>
    </row>
    <row r="325" spans="1:5" ht="15" customHeight="1" x14ac:dyDescent="0.2">
      <c r="A325" s="460"/>
      <c r="B325" s="469"/>
      <c r="C325" s="470"/>
      <c r="D325" s="460"/>
      <c r="E325" s="460" t="str">
        <f t="shared" si="6"/>
        <v/>
      </c>
    </row>
    <row r="326" spans="1:5" ht="15" customHeight="1" x14ac:dyDescent="0.2">
      <c r="A326" s="460"/>
      <c r="B326" s="469"/>
      <c r="C326" s="470"/>
      <c r="D326" s="460"/>
      <c r="E326" s="460" t="str">
        <f t="shared" ref="E326" si="7">IFERROR(VLOOKUP(D326,Tabla_Indices,5,FALSE),"")</f>
        <v/>
      </c>
    </row>
    <row r="327" spans="1:5" ht="15" customHeight="1" x14ac:dyDescent="0.2">
      <c r="A327" s="460"/>
      <c r="B327" s="469"/>
      <c r="C327" s="470"/>
      <c r="D327" s="460"/>
      <c r="E327" s="460" t="str">
        <f t="shared" si="6"/>
        <v/>
      </c>
    </row>
    <row r="328" spans="1:5" ht="15" customHeight="1" x14ac:dyDescent="0.2">
      <c r="A328" s="460"/>
      <c r="B328" s="469"/>
      <c r="C328" s="470"/>
      <c r="D328" s="460"/>
      <c r="E328" s="460" t="str">
        <f>IFERROR(VLOOKUP(D328,Tabla_Indices,5,FALSE),"")</f>
        <v/>
      </c>
    </row>
    <row r="329" spans="1:5" ht="15" customHeight="1" x14ac:dyDescent="0.2">
      <c r="A329" s="460"/>
      <c r="B329" s="469"/>
      <c r="C329" s="470"/>
      <c r="D329" s="460"/>
      <c r="E329" s="460" t="str">
        <f t="shared" si="6"/>
        <v/>
      </c>
    </row>
    <row r="330" spans="1:5" ht="15" customHeight="1" x14ac:dyDescent="0.2">
      <c r="A330" s="460"/>
      <c r="B330" s="469"/>
      <c r="C330" s="470"/>
      <c r="D330" s="460"/>
      <c r="E330" s="460" t="str">
        <f>IFERROR(VLOOKUP(D330,Tabla_Indices,5,FALSE),"")</f>
        <v/>
      </c>
    </row>
    <row r="331" spans="1:5" ht="15" customHeight="1" x14ac:dyDescent="0.2">
      <c r="A331" s="460"/>
      <c r="B331" s="469"/>
      <c r="C331" s="470"/>
      <c r="D331" s="460"/>
      <c r="E331" s="460" t="str">
        <f>IFERROR(VLOOKUP(D331,Tabla_Indices,5,FALSE),"")</f>
        <v/>
      </c>
    </row>
    <row r="332" spans="1:5" ht="15" customHeight="1" x14ac:dyDescent="0.2">
      <c r="A332" s="460"/>
      <c r="B332" s="469"/>
      <c r="C332" s="470"/>
      <c r="D332" s="460"/>
      <c r="E332" s="460" t="str">
        <f>IFERROR(VLOOKUP(D332,Tabla_Indices,5,FALSE),"")</f>
        <v/>
      </c>
    </row>
    <row r="333" spans="1:5" ht="15" customHeight="1" x14ac:dyDescent="0.2">
      <c r="A333" s="460"/>
      <c r="B333" s="469"/>
      <c r="C333" s="470"/>
      <c r="D333" s="460"/>
      <c r="E333" s="460" t="str">
        <f>IFERROR(VLOOKUP(D333,Tabla_Indices,5,FALSE),"")</f>
        <v/>
      </c>
    </row>
    <row r="334" spans="1:5" ht="15" customHeight="1" x14ac:dyDescent="0.2">
      <c r="A334" s="460"/>
      <c r="B334" s="469"/>
      <c r="C334" s="470"/>
      <c r="D334" s="460"/>
      <c r="E334" s="460" t="str">
        <f>IFERROR(VLOOKUP(D334,Tabla_Indices,5,FALSE),"")</f>
        <v/>
      </c>
    </row>
    <row r="335" spans="1:5" ht="15" customHeight="1" x14ac:dyDescent="0.2">
      <c r="A335" s="388"/>
      <c r="B335" s="469"/>
      <c r="C335" s="470"/>
      <c r="D335" s="388"/>
      <c r="E335" s="388" t="str">
        <f t="shared" si="6"/>
        <v/>
      </c>
    </row>
    <row r="336" spans="1:5" ht="15" customHeight="1" x14ac:dyDescent="0.2">
      <c r="A336" s="388"/>
      <c r="B336" s="471"/>
      <c r="C336" s="470"/>
      <c r="D336" s="388"/>
      <c r="E336" s="388" t="str">
        <f t="shared" si="6"/>
        <v/>
      </c>
    </row>
    <row r="337" spans="1:5" ht="15" customHeight="1" x14ac:dyDescent="0.2">
      <c r="A337" s="388"/>
      <c r="B337" s="471"/>
      <c r="C337" s="470"/>
      <c r="D337" s="388"/>
      <c r="E337" s="388" t="str">
        <f t="shared" ref="E337:E346" si="8">IFERROR(VLOOKUP(D337,Tabla_Indices,5,FALSE),"")</f>
        <v/>
      </c>
    </row>
    <row r="338" spans="1:5" ht="15" customHeight="1" x14ac:dyDescent="0.2">
      <c r="A338" s="388"/>
      <c r="B338" s="471"/>
      <c r="C338" s="470"/>
      <c r="D338" s="388"/>
      <c r="E338" s="388" t="str">
        <f t="shared" si="8"/>
        <v/>
      </c>
    </row>
    <row r="339" spans="1:5" ht="15" customHeight="1" x14ac:dyDescent="0.2">
      <c r="A339" s="388"/>
      <c r="B339" s="471"/>
      <c r="C339" s="470"/>
      <c r="D339" s="388"/>
      <c r="E339" s="388" t="str">
        <f t="shared" si="8"/>
        <v/>
      </c>
    </row>
    <row r="340" spans="1:5" ht="15" customHeight="1" x14ac:dyDescent="0.2">
      <c r="A340" s="388"/>
      <c r="B340" s="471"/>
      <c r="C340" s="470"/>
      <c r="D340" s="388"/>
      <c r="E340" s="388" t="str">
        <f t="shared" si="8"/>
        <v/>
      </c>
    </row>
    <row r="341" spans="1:5" ht="15" customHeight="1" x14ac:dyDescent="0.2">
      <c r="A341" s="388"/>
      <c r="B341" s="471"/>
      <c r="C341" s="470"/>
      <c r="D341" s="388"/>
      <c r="E341" s="388" t="str">
        <f t="shared" si="8"/>
        <v/>
      </c>
    </row>
    <row r="342" spans="1:5" ht="15" customHeight="1" x14ac:dyDescent="0.2">
      <c r="A342" s="388"/>
      <c r="B342" s="471"/>
      <c r="C342" s="470"/>
      <c r="D342" s="388"/>
      <c r="E342" s="388" t="str">
        <f t="shared" si="8"/>
        <v/>
      </c>
    </row>
    <row r="343" spans="1:5" ht="15" customHeight="1" x14ac:dyDescent="0.2">
      <c r="A343" s="388"/>
      <c r="B343" s="471"/>
      <c r="C343" s="470"/>
      <c r="D343" s="388"/>
      <c r="E343" s="388" t="str">
        <f t="shared" si="8"/>
        <v/>
      </c>
    </row>
    <row r="344" spans="1:5" ht="15" customHeight="1" x14ac:dyDescent="0.2">
      <c r="A344" s="388"/>
      <c r="B344" s="471"/>
      <c r="C344" s="470"/>
      <c r="D344" s="388"/>
      <c r="E344" s="388" t="str">
        <f t="shared" si="8"/>
        <v/>
      </c>
    </row>
    <row r="345" spans="1:5" ht="15" customHeight="1" x14ac:dyDescent="0.2">
      <c r="A345" s="388"/>
      <c r="B345" s="471"/>
      <c r="C345" s="470"/>
      <c r="D345" s="388"/>
      <c r="E345" s="388" t="str">
        <f t="shared" si="8"/>
        <v/>
      </c>
    </row>
    <row r="346" spans="1:5" ht="15" customHeight="1" x14ac:dyDescent="0.2">
      <c r="A346" s="388"/>
      <c r="B346" s="471"/>
      <c r="C346" s="470"/>
      <c r="D346" s="388"/>
      <c r="E346" s="388" t="str">
        <f t="shared" si="8"/>
        <v/>
      </c>
    </row>
    <row r="347" spans="1:5" ht="15" customHeight="1" x14ac:dyDescent="0.2">
      <c r="A347" s="388"/>
      <c r="B347" s="471"/>
      <c r="C347" s="470"/>
      <c r="D347" s="388"/>
      <c r="E347" s="388" t="str">
        <f t="shared" ref="E347:E365" si="9">IFERROR(VLOOKUP(D347,Tabla_Indices,5,FALSE),"")</f>
        <v/>
      </c>
    </row>
    <row r="348" spans="1:5" ht="15" customHeight="1" x14ac:dyDescent="0.2">
      <c r="A348" s="388"/>
      <c r="B348" s="471"/>
      <c r="C348" s="470"/>
      <c r="D348" s="388"/>
      <c r="E348" s="388" t="str">
        <f t="shared" si="9"/>
        <v/>
      </c>
    </row>
    <row r="349" spans="1:5" ht="15" customHeight="1" x14ac:dyDescent="0.2">
      <c r="A349" s="388"/>
      <c r="B349" s="471"/>
      <c r="C349" s="470"/>
      <c r="D349" s="388"/>
      <c r="E349" s="388" t="str">
        <f t="shared" si="9"/>
        <v/>
      </c>
    </row>
    <row r="350" spans="1:5" ht="15" customHeight="1" x14ac:dyDescent="0.2">
      <c r="A350" s="388"/>
      <c r="B350" s="471"/>
      <c r="C350" s="470"/>
      <c r="D350" s="388"/>
      <c r="E350" s="388" t="str">
        <f t="shared" si="9"/>
        <v/>
      </c>
    </row>
    <row r="351" spans="1:5" ht="15" customHeight="1" x14ac:dyDescent="0.2">
      <c r="A351" s="388"/>
      <c r="B351" s="471"/>
      <c r="C351" s="470"/>
      <c r="D351" s="388"/>
      <c r="E351" s="388" t="str">
        <f t="shared" si="9"/>
        <v/>
      </c>
    </row>
    <row r="352" spans="1:5" ht="15" customHeight="1" x14ac:dyDescent="0.2">
      <c r="A352" s="388"/>
      <c r="B352" s="471"/>
      <c r="C352" s="470"/>
      <c r="D352" s="388"/>
      <c r="E352" s="388" t="str">
        <f t="shared" si="9"/>
        <v/>
      </c>
    </row>
    <row r="353" spans="1:5" ht="15" customHeight="1" x14ac:dyDescent="0.2">
      <c r="A353" s="388"/>
      <c r="B353" s="471"/>
      <c r="C353" s="470"/>
      <c r="D353" s="388"/>
      <c r="E353" s="388" t="str">
        <f t="shared" si="9"/>
        <v/>
      </c>
    </row>
    <row r="354" spans="1:5" ht="15" customHeight="1" x14ac:dyDescent="0.2">
      <c r="A354" s="388"/>
      <c r="B354" s="471"/>
      <c r="C354" s="470"/>
      <c r="D354" s="388"/>
      <c r="E354" s="388" t="str">
        <f t="shared" si="9"/>
        <v/>
      </c>
    </row>
    <row r="355" spans="1:5" ht="15" customHeight="1" x14ac:dyDescent="0.2">
      <c r="A355" s="388"/>
      <c r="B355" s="471"/>
      <c r="C355" s="470"/>
      <c r="D355" s="388"/>
      <c r="E355" s="388" t="str">
        <f t="shared" ref="E355:E360" si="10">IFERROR(VLOOKUP(D355,Tabla_Indices,5,FALSE),"")</f>
        <v/>
      </c>
    </row>
    <row r="356" spans="1:5" ht="15" customHeight="1" x14ac:dyDescent="0.2">
      <c r="A356" s="388"/>
      <c r="B356" s="471"/>
      <c r="C356" s="470"/>
      <c r="D356" s="388"/>
      <c r="E356" s="388" t="str">
        <f t="shared" si="10"/>
        <v/>
      </c>
    </row>
    <row r="357" spans="1:5" ht="15" customHeight="1" x14ac:dyDescent="0.2">
      <c r="A357" s="388"/>
      <c r="B357" s="471"/>
      <c r="C357" s="470"/>
      <c r="D357" s="388"/>
      <c r="E357" s="388" t="str">
        <f t="shared" si="10"/>
        <v/>
      </c>
    </row>
    <row r="358" spans="1:5" ht="15" customHeight="1" x14ac:dyDescent="0.2">
      <c r="A358" s="388"/>
      <c r="B358" s="471"/>
      <c r="C358" s="470"/>
      <c r="D358" s="388"/>
      <c r="E358" s="388" t="str">
        <f t="shared" si="10"/>
        <v/>
      </c>
    </row>
    <row r="359" spans="1:5" ht="15" customHeight="1" x14ac:dyDescent="0.2">
      <c r="A359" s="388"/>
      <c r="B359" s="471"/>
      <c r="C359" s="470"/>
      <c r="D359" s="388"/>
      <c r="E359" s="388" t="str">
        <f t="shared" si="10"/>
        <v/>
      </c>
    </row>
    <row r="360" spans="1:5" ht="15" customHeight="1" x14ac:dyDescent="0.2">
      <c r="A360" s="388"/>
      <c r="B360" s="471"/>
      <c r="C360" s="470"/>
      <c r="D360" s="388"/>
      <c r="E360" s="388" t="str">
        <f t="shared" si="10"/>
        <v/>
      </c>
    </row>
    <row r="361" spans="1:5" ht="15" customHeight="1" x14ac:dyDescent="0.2">
      <c r="A361" s="388"/>
      <c r="B361" s="471"/>
      <c r="C361" s="470"/>
      <c r="D361" s="388"/>
      <c r="E361" s="388" t="str">
        <f t="shared" ref="E361:E362" si="11">IFERROR(VLOOKUP(D361,Tabla_Indices,5,FALSE),"")</f>
        <v/>
      </c>
    </row>
    <row r="362" spans="1:5" ht="15" customHeight="1" x14ac:dyDescent="0.2">
      <c r="A362" s="388"/>
      <c r="B362" s="471"/>
      <c r="C362" s="470"/>
      <c r="D362" s="388"/>
      <c r="E362" s="388" t="str">
        <f t="shared" si="11"/>
        <v/>
      </c>
    </row>
    <row r="363" spans="1:5" ht="15" customHeight="1" x14ac:dyDescent="0.2">
      <c r="A363" s="388"/>
      <c r="B363" s="471"/>
      <c r="C363" s="470"/>
      <c r="D363" s="388"/>
      <c r="E363" s="388" t="str">
        <f t="shared" ref="E363:E364" si="12">IFERROR(VLOOKUP(D363,Tabla_Indices,5,FALSE),"")</f>
        <v/>
      </c>
    </row>
    <row r="364" spans="1:5" ht="15" customHeight="1" x14ac:dyDescent="0.2">
      <c r="A364" s="388"/>
      <c r="B364" s="471"/>
      <c r="C364" s="470"/>
      <c r="D364" s="388"/>
      <c r="E364" s="388" t="str">
        <f t="shared" si="12"/>
        <v/>
      </c>
    </row>
    <row r="365" spans="1:5" ht="15" customHeight="1" x14ac:dyDescent="0.2">
      <c r="A365" s="388"/>
      <c r="B365" s="471"/>
      <c r="C365" s="470"/>
      <c r="D365" s="388"/>
      <c r="E365" s="388" t="str">
        <f t="shared" si="9"/>
        <v/>
      </c>
    </row>
    <row r="366" spans="1:5" ht="15" customHeight="1" x14ac:dyDescent="0.2">
      <c r="A366" s="387"/>
      <c r="B366" s="471"/>
      <c r="C366" s="470"/>
      <c r="D366" s="388"/>
      <c r="E366" s="388" t="str">
        <f t="shared" ref="E366:E382" si="13">IFERROR(VLOOKUP(D366,Tabla_Indices,5,FALSE),"")</f>
        <v/>
      </c>
    </row>
    <row r="367" spans="1:5" ht="15" customHeight="1" x14ac:dyDescent="0.2">
      <c r="A367" s="387"/>
      <c r="B367" s="471"/>
      <c r="C367" s="470"/>
      <c r="D367" s="388"/>
      <c r="E367" s="388" t="str">
        <f t="shared" si="13"/>
        <v/>
      </c>
    </row>
    <row r="368" spans="1:5" ht="15" customHeight="1" x14ac:dyDescent="0.2">
      <c r="A368" s="387"/>
      <c r="B368" s="471"/>
      <c r="C368" s="470"/>
      <c r="D368" s="388"/>
      <c r="E368" s="388" t="str">
        <f t="shared" si="13"/>
        <v/>
      </c>
    </row>
    <row r="369" spans="1:5" ht="15" customHeight="1" x14ac:dyDescent="0.2">
      <c r="A369" s="388"/>
      <c r="B369" s="471"/>
      <c r="C369" s="470"/>
      <c r="D369" s="388"/>
      <c r="E369" s="388" t="str">
        <f t="shared" si="13"/>
        <v/>
      </c>
    </row>
    <row r="370" spans="1:5" ht="15" customHeight="1" x14ac:dyDescent="0.2">
      <c r="A370" s="388"/>
      <c r="B370" s="471"/>
      <c r="C370" s="470"/>
      <c r="D370" s="388"/>
      <c r="E370" s="388" t="str">
        <f t="shared" si="13"/>
        <v/>
      </c>
    </row>
    <row r="371" spans="1:5" ht="15" customHeight="1" x14ac:dyDescent="0.2">
      <c r="A371" s="388"/>
      <c r="B371" s="471"/>
      <c r="C371" s="470"/>
      <c r="D371" s="388"/>
      <c r="E371" s="388" t="str">
        <f t="shared" si="13"/>
        <v/>
      </c>
    </row>
    <row r="372" spans="1:5" ht="15" customHeight="1" x14ac:dyDescent="0.2">
      <c r="A372" s="388"/>
      <c r="B372" s="471"/>
      <c r="C372" s="470"/>
      <c r="D372" s="388"/>
      <c r="E372" s="388" t="str">
        <f t="shared" si="13"/>
        <v/>
      </c>
    </row>
    <row r="373" spans="1:5" ht="15" customHeight="1" x14ac:dyDescent="0.2">
      <c r="A373" s="388"/>
      <c r="B373" s="471"/>
      <c r="C373" s="470"/>
      <c r="D373" s="388"/>
      <c r="E373" s="388" t="str">
        <f t="shared" si="13"/>
        <v/>
      </c>
    </row>
    <row r="374" spans="1:5" ht="15" customHeight="1" x14ac:dyDescent="0.2">
      <c r="A374" s="388"/>
      <c r="B374" s="471"/>
      <c r="C374" s="470"/>
      <c r="D374" s="388"/>
      <c r="E374" s="388" t="str">
        <f t="shared" si="13"/>
        <v/>
      </c>
    </row>
    <row r="375" spans="1:5" ht="15" customHeight="1" x14ac:dyDescent="0.2">
      <c r="A375" s="388"/>
      <c r="B375" s="471"/>
      <c r="C375" s="470"/>
      <c r="D375" s="388"/>
      <c r="E375" s="388" t="str">
        <f t="shared" si="13"/>
        <v/>
      </c>
    </row>
    <row r="376" spans="1:5" ht="15" customHeight="1" x14ac:dyDescent="0.2">
      <c r="A376" s="388"/>
      <c r="B376" s="471"/>
      <c r="C376" s="470"/>
      <c r="D376" s="388"/>
      <c r="E376" s="388" t="str">
        <f t="shared" si="13"/>
        <v/>
      </c>
    </row>
    <row r="377" spans="1:5" ht="15" customHeight="1" x14ac:dyDescent="0.2">
      <c r="A377" s="388"/>
      <c r="B377" s="471"/>
      <c r="C377" s="470"/>
      <c r="D377" s="388"/>
      <c r="E377" s="388" t="str">
        <f t="shared" si="13"/>
        <v/>
      </c>
    </row>
    <row r="378" spans="1:5" ht="15" customHeight="1" x14ac:dyDescent="0.2">
      <c r="A378" s="388"/>
      <c r="B378" s="471"/>
      <c r="C378" s="470"/>
      <c r="D378" s="388"/>
      <c r="E378" s="388" t="str">
        <f t="shared" si="13"/>
        <v/>
      </c>
    </row>
    <row r="379" spans="1:5" ht="15" customHeight="1" x14ac:dyDescent="0.2">
      <c r="A379" s="388"/>
      <c r="B379" s="471"/>
      <c r="C379" s="470"/>
      <c r="D379" s="388"/>
      <c r="E379" s="388" t="str">
        <f t="shared" si="13"/>
        <v/>
      </c>
    </row>
    <row r="380" spans="1:5" ht="15" customHeight="1" x14ac:dyDescent="0.2">
      <c r="A380" s="388"/>
      <c r="B380" s="471"/>
      <c r="C380" s="470"/>
      <c r="D380" s="388"/>
      <c r="E380" s="388" t="str">
        <f t="shared" si="13"/>
        <v/>
      </c>
    </row>
    <row r="381" spans="1:5" ht="15" customHeight="1" x14ac:dyDescent="0.2">
      <c r="A381" s="388"/>
      <c r="B381" s="471"/>
      <c r="C381" s="470"/>
      <c r="D381" s="388"/>
      <c r="E381" s="388" t="str">
        <f t="shared" si="13"/>
        <v/>
      </c>
    </row>
    <row r="382" spans="1:5" ht="15" customHeight="1" x14ac:dyDescent="0.2">
      <c r="A382" s="388"/>
      <c r="B382" s="471"/>
      <c r="C382" s="470"/>
      <c r="D382" s="388"/>
      <c r="E382" s="388" t="str">
        <f t="shared" si="13"/>
        <v/>
      </c>
    </row>
    <row r="383" spans="1:5" ht="15" customHeight="1" x14ac:dyDescent="0.2">
      <c r="A383" s="460"/>
      <c r="B383" s="469"/>
      <c r="C383" s="470"/>
      <c r="D383" s="460"/>
      <c r="E383" s="460" t="str">
        <f t="shared" si="6"/>
        <v/>
      </c>
    </row>
    <row r="384" spans="1:5" ht="15" customHeight="1" x14ac:dyDescent="0.2">
      <c r="A384" s="460"/>
      <c r="B384" s="469"/>
      <c r="C384" s="470"/>
      <c r="D384" s="460"/>
      <c r="E384" s="460" t="str">
        <f t="shared" si="6"/>
        <v/>
      </c>
    </row>
    <row r="385" spans="1:5" ht="15" customHeight="1" x14ac:dyDescent="0.2">
      <c r="A385" s="460"/>
      <c r="B385" s="469"/>
      <c r="C385" s="470"/>
      <c r="D385" s="460"/>
      <c r="E385" s="460" t="str">
        <f t="shared" si="6"/>
        <v/>
      </c>
    </row>
    <row r="386" spans="1:5" ht="15" customHeight="1" x14ac:dyDescent="0.2">
      <c r="A386" s="460"/>
      <c r="B386" s="469"/>
      <c r="C386" s="470"/>
      <c r="D386" s="460"/>
      <c r="E386" s="460" t="str">
        <f t="shared" si="6"/>
        <v/>
      </c>
    </row>
    <row r="387" spans="1:5" ht="15" customHeight="1" x14ac:dyDescent="0.2">
      <c r="A387" s="460"/>
      <c r="B387" s="469"/>
      <c r="C387" s="470"/>
      <c r="D387" s="460"/>
      <c r="E387" s="460" t="str">
        <f t="shared" si="6"/>
        <v/>
      </c>
    </row>
    <row r="388" spans="1:5" ht="15" customHeight="1" x14ac:dyDescent="0.2">
      <c r="A388" s="460"/>
      <c r="B388" s="469"/>
      <c r="C388" s="470"/>
      <c r="D388" s="460"/>
      <c r="E388" s="460" t="str">
        <f t="shared" si="6"/>
        <v/>
      </c>
    </row>
    <row r="389" spans="1:5" ht="15" customHeight="1" x14ac:dyDescent="0.2">
      <c r="A389" s="460"/>
      <c r="B389" s="469"/>
      <c r="C389" s="470"/>
      <c r="D389" s="460"/>
      <c r="E389" s="460" t="str">
        <f t="shared" si="6"/>
        <v/>
      </c>
    </row>
    <row r="390" spans="1:5" ht="15" customHeight="1" x14ac:dyDescent="0.2">
      <c r="A390" s="460"/>
      <c r="B390" s="469"/>
      <c r="C390" s="470"/>
      <c r="D390" s="460"/>
      <c r="E390" s="460" t="str">
        <f t="shared" si="6"/>
        <v/>
      </c>
    </row>
    <row r="391" spans="1:5" ht="15" customHeight="1" x14ac:dyDescent="0.2">
      <c r="A391" s="460"/>
      <c r="B391" s="469"/>
      <c r="C391" s="470"/>
      <c r="D391" s="460"/>
      <c r="E391" s="460" t="str">
        <f t="shared" si="6"/>
        <v/>
      </c>
    </row>
    <row r="392" spans="1:5" ht="15" customHeight="1" x14ac:dyDescent="0.2">
      <c r="A392" s="460"/>
      <c r="B392" s="469"/>
      <c r="C392" s="470"/>
      <c r="D392" s="460"/>
      <c r="E392" s="460" t="str">
        <f>IFERROR(VLOOKUP(D392,Tabla_Indices,5,FALSE),"")</f>
        <v/>
      </c>
    </row>
    <row r="393" spans="1:5" ht="15" customHeight="1" x14ac:dyDescent="0.2">
      <c r="A393" s="460"/>
      <c r="B393" s="469"/>
      <c r="C393" s="470"/>
      <c r="D393" s="460"/>
      <c r="E393" s="460" t="str">
        <f>IFERROR(VLOOKUP(D393,Tabla_Indices,5,FALSE),"")</f>
        <v/>
      </c>
    </row>
    <row r="394" spans="1:5" ht="15" customHeight="1" x14ac:dyDescent="0.2">
      <c r="A394" s="460"/>
      <c r="B394" s="469"/>
      <c r="C394" s="470"/>
      <c r="D394" s="460"/>
      <c r="E394" s="460" t="str">
        <f t="shared" si="6"/>
        <v/>
      </c>
    </row>
    <row r="395" spans="1:5" ht="15" customHeight="1" x14ac:dyDescent="0.2">
      <c r="A395" s="460"/>
      <c r="B395" s="469"/>
      <c r="C395" s="470"/>
      <c r="D395" s="460"/>
      <c r="E395" s="460" t="str">
        <f t="shared" si="6"/>
        <v/>
      </c>
    </row>
    <row r="396" spans="1:5" ht="15" customHeight="1" x14ac:dyDescent="0.2">
      <c r="A396" s="460"/>
      <c r="B396" s="469"/>
      <c r="C396" s="470"/>
      <c r="D396" s="460"/>
      <c r="E396" s="460" t="str">
        <f t="shared" si="6"/>
        <v/>
      </c>
    </row>
    <row r="397" spans="1:5" ht="15" customHeight="1" x14ac:dyDescent="0.2">
      <c r="A397" s="460"/>
      <c r="B397" s="469"/>
      <c r="C397" s="470"/>
      <c r="D397" s="460"/>
      <c r="E397" s="460" t="str">
        <f t="shared" si="6"/>
        <v/>
      </c>
    </row>
    <row r="398" spans="1:5" ht="15" customHeight="1" x14ac:dyDescent="0.2">
      <c r="A398" s="460"/>
      <c r="B398" s="469"/>
      <c r="C398" s="470"/>
      <c r="D398" s="460"/>
      <c r="E398" s="460" t="str">
        <f t="shared" si="6"/>
        <v/>
      </c>
    </row>
    <row r="399" spans="1:5" ht="15" customHeight="1" x14ac:dyDescent="0.2">
      <c r="A399" s="460"/>
      <c r="B399" s="469"/>
      <c r="C399" s="470"/>
      <c r="D399" s="460"/>
      <c r="E399" s="460" t="str">
        <f t="shared" si="6"/>
        <v/>
      </c>
    </row>
    <row r="400" spans="1:5" ht="15" customHeight="1" x14ac:dyDescent="0.2">
      <c r="A400" s="460"/>
      <c r="B400" s="469"/>
      <c r="C400" s="470"/>
      <c r="D400" s="460"/>
      <c r="E400" s="460" t="str">
        <f t="shared" si="6"/>
        <v/>
      </c>
    </row>
    <row r="401" spans="1:5" ht="15" customHeight="1" x14ac:dyDescent="0.2">
      <c r="A401" s="460"/>
      <c r="B401" s="469"/>
      <c r="C401" s="470"/>
      <c r="D401" s="460"/>
      <c r="E401" s="460" t="str">
        <f t="shared" si="6"/>
        <v/>
      </c>
    </row>
    <row r="402" spans="1:5" ht="15" customHeight="1" x14ac:dyDescent="0.2">
      <c r="A402" s="460"/>
      <c r="B402" s="469"/>
      <c r="C402" s="470"/>
      <c r="D402" s="460"/>
      <c r="E402" s="460" t="str">
        <f t="shared" si="6"/>
        <v/>
      </c>
    </row>
    <row r="403" spans="1:5" ht="15" customHeight="1" x14ac:dyDescent="0.2">
      <c r="A403" s="460"/>
      <c r="B403" s="469"/>
      <c r="C403" s="470"/>
      <c r="D403" s="460"/>
      <c r="E403" s="460" t="str">
        <f t="shared" si="6"/>
        <v/>
      </c>
    </row>
    <row r="404" spans="1:5" ht="15" customHeight="1" x14ac:dyDescent="0.2">
      <c r="A404" s="460"/>
      <c r="B404" s="469"/>
      <c r="C404" s="470"/>
      <c r="D404" s="460"/>
      <c r="E404" s="460" t="str">
        <f t="shared" si="6"/>
        <v/>
      </c>
    </row>
    <row r="405" spans="1:5" ht="15" customHeight="1" x14ac:dyDescent="0.2">
      <c r="A405" s="460"/>
      <c r="B405" s="469"/>
      <c r="C405" s="470"/>
      <c r="D405" s="460"/>
      <c r="E405" s="460" t="str">
        <f t="shared" si="6"/>
        <v/>
      </c>
    </row>
    <row r="406" spans="1:5" ht="15" customHeight="1" x14ac:dyDescent="0.2">
      <c r="A406" s="460"/>
      <c r="B406" s="469"/>
      <c r="C406" s="470"/>
      <c r="D406" s="460"/>
      <c r="E406" s="460" t="str">
        <f t="shared" si="6"/>
        <v/>
      </c>
    </row>
    <row r="407" spans="1:5" ht="15" customHeight="1" x14ac:dyDescent="0.2">
      <c r="A407" s="460"/>
      <c r="B407" s="469"/>
      <c r="C407" s="470"/>
      <c r="D407" s="460"/>
      <c r="E407" s="460" t="str">
        <f t="shared" si="6"/>
        <v/>
      </c>
    </row>
    <row r="408" spans="1:5" ht="15" customHeight="1" x14ac:dyDescent="0.2">
      <c r="A408" s="460"/>
      <c r="B408" s="469"/>
      <c r="C408" s="470"/>
      <c r="D408" s="460"/>
      <c r="E408" s="460" t="str">
        <f t="shared" si="6"/>
        <v/>
      </c>
    </row>
    <row r="409" spans="1:5" ht="15" customHeight="1" x14ac:dyDescent="0.2">
      <c r="A409" s="460"/>
      <c r="B409" s="469"/>
      <c r="C409" s="470"/>
      <c r="D409" s="460"/>
      <c r="E409" s="460" t="str">
        <f t="shared" si="6"/>
        <v/>
      </c>
    </row>
    <row r="410" spans="1:5" ht="15" customHeight="1" x14ac:dyDescent="0.2">
      <c r="A410" s="460"/>
      <c r="B410" s="469"/>
      <c r="C410" s="470"/>
      <c r="D410" s="460"/>
      <c r="E410" s="460" t="str">
        <f t="shared" si="6"/>
        <v/>
      </c>
    </row>
    <row r="411" spans="1:5" ht="15" customHeight="1" x14ac:dyDescent="0.2">
      <c r="A411" s="460"/>
      <c r="B411" s="469"/>
      <c r="C411" s="470"/>
      <c r="D411" s="460"/>
      <c r="E411" s="460" t="str">
        <f t="shared" si="6"/>
        <v/>
      </c>
    </row>
    <row r="412" spans="1:5" ht="15" customHeight="1" x14ac:dyDescent="0.2">
      <c r="A412" s="460"/>
      <c r="B412" s="469"/>
      <c r="C412" s="470"/>
      <c r="D412" s="460"/>
      <c r="E412" s="460" t="str">
        <f t="shared" si="6"/>
        <v/>
      </c>
    </row>
    <row r="413" spans="1:5" ht="15" customHeight="1" x14ac:dyDescent="0.2">
      <c r="A413" s="460"/>
      <c r="B413" s="469"/>
      <c r="C413" s="470"/>
      <c r="D413" s="460"/>
      <c r="E413" s="460" t="str">
        <f t="shared" si="6"/>
        <v/>
      </c>
    </row>
    <row r="414" spans="1:5" ht="15" customHeight="1" x14ac:dyDescent="0.2">
      <c r="A414" s="460"/>
      <c r="B414" s="469"/>
      <c r="C414" s="470"/>
      <c r="D414" s="460"/>
      <c r="E414" s="460" t="str">
        <f t="shared" si="6"/>
        <v/>
      </c>
    </row>
    <row r="415" spans="1:5" ht="15" customHeight="1" x14ac:dyDescent="0.2">
      <c r="A415" s="460"/>
      <c r="B415" s="469"/>
      <c r="C415" s="470"/>
      <c r="D415" s="460"/>
      <c r="E415" s="460" t="str">
        <f t="shared" si="6"/>
        <v/>
      </c>
    </row>
    <row r="416" spans="1:5" ht="15" customHeight="1" x14ac:dyDescent="0.2">
      <c r="A416" s="460"/>
      <c r="B416" s="469"/>
      <c r="C416" s="470"/>
      <c r="D416" s="460"/>
      <c r="E416" s="460" t="str">
        <f t="shared" si="6"/>
        <v/>
      </c>
    </row>
    <row r="417" spans="1:5" ht="15" customHeight="1" x14ac:dyDescent="0.2">
      <c r="A417" s="460"/>
      <c r="B417" s="469"/>
      <c r="C417" s="470"/>
      <c r="D417" s="460"/>
      <c r="E417" s="460" t="str">
        <f>IFERROR(VLOOKUP(D417,Tabla_Indices,5,FALSE),"")</f>
        <v/>
      </c>
    </row>
    <row r="418" spans="1:5" ht="15" customHeight="1" x14ac:dyDescent="0.2">
      <c r="A418" s="460"/>
      <c r="B418" s="469"/>
      <c r="C418" s="470"/>
      <c r="D418" s="460"/>
      <c r="E418" s="460" t="str">
        <f>IFERROR(VLOOKUP(D418,Tabla_Indices,5,FALSE),"")</f>
        <v/>
      </c>
    </row>
    <row r="419" spans="1:5" ht="15" customHeight="1" x14ac:dyDescent="0.2">
      <c r="A419" s="460"/>
      <c r="B419" s="469"/>
      <c r="C419" s="470"/>
      <c r="D419" s="460"/>
      <c r="E419" s="460" t="str">
        <f t="shared" si="6"/>
        <v/>
      </c>
    </row>
    <row r="420" spans="1:5" ht="15" customHeight="1" x14ac:dyDescent="0.2">
      <c r="A420" s="460"/>
      <c r="B420" s="469"/>
      <c r="C420" s="470"/>
      <c r="D420" s="460"/>
      <c r="E420" s="460" t="str">
        <f t="shared" si="6"/>
        <v/>
      </c>
    </row>
    <row r="421" spans="1:5" ht="15" customHeight="1" x14ac:dyDescent="0.2">
      <c r="A421" s="460"/>
      <c r="B421" s="469"/>
      <c r="C421" s="470"/>
      <c r="D421" s="460"/>
      <c r="E421" s="460" t="str">
        <f t="shared" si="6"/>
        <v/>
      </c>
    </row>
    <row r="422" spans="1:5" ht="15" customHeight="1" x14ac:dyDescent="0.2">
      <c r="A422" s="460"/>
      <c r="B422" s="469"/>
      <c r="C422" s="470"/>
      <c r="D422" s="460"/>
      <c r="E422" s="460" t="str">
        <f t="shared" si="6"/>
        <v/>
      </c>
    </row>
    <row r="423" spans="1:5" ht="15" customHeight="1" x14ac:dyDescent="0.2">
      <c r="A423" s="460"/>
      <c r="B423" s="469"/>
      <c r="C423" s="470"/>
      <c r="D423" s="460"/>
      <c r="E423" s="460" t="str">
        <f t="shared" si="6"/>
        <v/>
      </c>
    </row>
    <row r="424" spans="1:5" ht="15" customHeight="1" x14ac:dyDescent="0.2">
      <c r="A424" s="460"/>
      <c r="B424" s="469"/>
      <c r="C424" s="470"/>
      <c r="D424" s="460"/>
      <c r="E424" s="460" t="str">
        <f t="shared" si="6"/>
        <v/>
      </c>
    </row>
    <row r="425" spans="1:5" ht="15" customHeight="1" x14ac:dyDescent="0.2">
      <c r="A425" s="460"/>
      <c r="B425" s="469"/>
      <c r="C425" s="470"/>
      <c r="D425" s="460"/>
      <c r="E425" s="460" t="str">
        <f t="shared" si="6"/>
        <v/>
      </c>
    </row>
    <row r="426" spans="1:5" ht="15" customHeight="1" x14ac:dyDescent="0.2">
      <c r="A426" s="460"/>
      <c r="B426" s="469"/>
      <c r="C426" s="470"/>
      <c r="D426" s="460"/>
      <c r="E426" s="460" t="str">
        <f t="shared" si="6"/>
        <v/>
      </c>
    </row>
    <row r="427" spans="1:5" ht="15" customHeight="1" x14ac:dyDescent="0.2">
      <c r="A427" s="460"/>
      <c r="B427" s="469"/>
      <c r="C427" s="470"/>
      <c r="D427" s="460"/>
      <c r="E427" s="460" t="str">
        <f t="shared" ref="E427:E451" si="14">IFERROR(VLOOKUP(D427,Tabla_Indices,5,FALSE),"")</f>
        <v/>
      </c>
    </row>
    <row r="428" spans="1:5" ht="15" customHeight="1" x14ac:dyDescent="0.2">
      <c r="A428" s="460"/>
      <c r="B428" s="469"/>
      <c r="C428" s="470"/>
      <c r="D428" s="460"/>
      <c r="E428" s="460" t="str">
        <f t="shared" si="14"/>
        <v/>
      </c>
    </row>
    <row r="429" spans="1:5" ht="15" customHeight="1" x14ac:dyDescent="0.2">
      <c r="A429" s="460"/>
      <c r="B429" s="469"/>
      <c r="C429" s="470"/>
      <c r="D429" s="460"/>
      <c r="E429" s="460" t="str">
        <f t="shared" si="14"/>
        <v/>
      </c>
    </row>
    <row r="430" spans="1:5" ht="15" customHeight="1" x14ac:dyDescent="0.2">
      <c r="A430" s="460"/>
      <c r="B430" s="469"/>
      <c r="C430" s="470"/>
      <c r="D430" s="460"/>
      <c r="E430" s="460" t="str">
        <f t="shared" si="14"/>
        <v/>
      </c>
    </row>
    <row r="431" spans="1:5" ht="15" customHeight="1" x14ac:dyDescent="0.2">
      <c r="A431" s="460"/>
      <c r="B431" s="469"/>
      <c r="C431" s="470"/>
      <c r="D431" s="460"/>
      <c r="E431" s="460" t="str">
        <f t="shared" si="14"/>
        <v/>
      </c>
    </row>
    <row r="432" spans="1:5" ht="15" customHeight="1" x14ac:dyDescent="0.2">
      <c r="A432" s="460"/>
      <c r="B432" s="469"/>
      <c r="C432" s="470"/>
      <c r="D432" s="460"/>
      <c r="E432" s="460" t="str">
        <f t="shared" si="14"/>
        <v/>
      </c>
    </row>
    <row r="433" spans="1:5" ht="15" customHeight="1" x14ac:dyDescent="0.2">
      <c r="A433" s="460"/>
      <c r="B433" s="469"/>
      <c r="C433" s="470"/>
      <c r="D433" s="460"/>
      <c r="E433" s="460" t="str">
        <f t="shared" si="14"/>
        <v/>
      </c>
    </row>
    <row r="434" spans="1:5" ht="15" customHeight="1" x14ac:dyDescent="0.2">
      <c r="A434" s="460"/>
      <c r="B434" s="469"/>
      <c r="C434" s="470"/>
      <c r="D434" s="460"/>
      <c r="E434" s="460" t="str">
        <f t="shared" si="14"/>
        <v/>
      </c>
    </row>
    <row r="435" spans="1:5" ht="15" customHeight="1" x14ac:dyDescent="0.2">
      <c r="A435" s="460"/>
      <c r="B435" s="469"/>
      <c r="C435" s="470"/>
      <c r="D435" s="460"/>
      <c r="E435" s="460" t="str">
        <f>IFERROR(VLOOKUP(D435,Tabla_Indices,5,FALSE),"")</f>
        <v/>
      </c>
    </row>
    <row r="436" spans="1:5" ht="15" customHeight="1" x14ac:dyDescent="0.2">
      <c r="A436" s="460"/>
      <c r="B436" s="469"/>
      <c r="C436" s="470"/>
      <c r="D436" s="460"/>
      <c r="E436" s="460" t="str">
        <f>IFERROR(VLOOKUP(D436,Tabla_Indices,5,FALSE),"")</f>
        <v/>
      </c>
    </row>
    <row r="437" spans="1:5" ht="15" customHeight="1" x14ac:dyDescent="0.2">
      <c r="A437" s="460"/>
      <c r="B437" s="469"/>
      <c r="C437" s="470"/>
      <c r="D437" s="460"/>
      <c r="E437" s="460" t="str">
        <f t="shared" si="14"/>
        <v/>
      </c>
    </row>
    <row r="438" spans="1:5" ht="15" customHeight="1" x14ac:dyDescent="0.2">
      <c r="A438" s="460"/>
      <c r="B438" s="469"/>
      <c r="C438" s="470"/>
      <c r="D438" s="460"/>
      <c r="E438" s="460" t="str">
        <f t="shared" si="14"/>
        <v/>
      </c>
    </row>
    <row r="439" spans="1:5" ht="15" customHeight="1" x14ac:dyDescent="0.2">
      <c r="A439" s="460"/>
      <c r="B439" s="469"/>
      <c r="C439" s="470"/>
      <c r="D439" s="460"/>
      <c r="E439" s="460" t="str">
        <f t="shared" si="14"/>
        <v/>
      </c>
    </row>
    <row r="440" spans="1:5" ht="15" customHeight="1" x14ac:dyDescent="0.2">
      <c r="A440" s="460"/>
      <c r="B440" s="469"/>
      <c r="C440" s="470"/>
      <c r="D440" s="460"/>
      <c r="E440" s="460" t="str">
        <f t="shared" si="14"/>
        <v/>
      </c>
    </row>
    <row r="441" spans="1:5" ht="15" customHeight="1" x14ac:dyDescent="0.2">
      <c r="A441" s="460"/>
      <c r="B441" s="469"/>
      <c r="C441" s="470"/>
      <c r="D441" s="460"/>
      <c r="E441" s="460" t="str">
        <f t="shared" si="14"/>
        <v/>
      </c>
    </row>
    <row r="442" spans="1:5" ht="15" customHeight="1" x14ac:dyDescent="0.2">
      <c r="A442" s="460"/>
      <c r="B442" s="469"/>
      <c r="C442" s="470"/>
      <c r="D442" s="460"/>
      <c r="E442" s="460" t="str">
        <f t="shared" si="14"/>
        <v/>
      </c>
    </row>
    <row r="443" spans="1:5" ht="15" customHeight="1" x14ac:dyDescent="0.2">
      <c r="A443" s="460"/>
      <c r="B443" s="469"/>
      <c r="C443" s="470"/>
      <c r="D443" s="460"/>
      <c r="E443" s="460" t="str">
        <f t="shared" si="14"/>
        <v/>
      </c>
    </row>
    <row r="444" spans="1:5" ht="15" customHeight="1" x14ac:dyDescent="0.2">
      <c r="A444" s="460"/>
      <c r="B444" s="469"/>
      <c r="C444" s="470"/>
      <c r="D444" s="460"/>
      <c r="E444" s="460" t="str">
        <f>IFERROR(VLOOKUP(D444,Tabla_Indices,5,FALSE),"")</f>
        <v/>
      </c>
    </row>
    <row r="445" spans="1:5" ht="15" customHeight="1" x14ac:dyDescent="0.2">
      <c r="A445" s="460"/>
      <c r="B445" s="469"/>
      <c r="C445" s="470"/>
      <c r="D445" s="460"/>
      <c r="E445" s="460" t="str">
        <f t="shared" si="14"/>
        <v/>
      </c>
    </row>
    <row r="446" spans="1:5" ht="15" customHeight="1" x14ac:dyDescent="0.2">
      <c r="A446" s="460"/>
      <c r="B446" s="469"/>
      <c r="C446" s="470"/>
      <c r="D446" s="460"/>
      <c r="E446" s="460" t="str">
        <f>IFERROR(VLOOKUP(D446,Tabla_Indices,5,FALSE),"")</f>
        <v/>
      </c>
    </row>
    <row r="447" spans="1:5" ht="15" customHeight="1" x14ac:dyDescent="0.2">
      <c r="A447" s="460"/>
      <c r="B447" s="469"/>
      <c r="C447" s="470"/>
      <c r="D447" s="460"/>
      <c r="E447" s="460" t="str">
        <f>IFERROR(VLOOKUP(D447,Tabla_Indices,5,FALSE),"")</f>
        <v/>
      </c>
    </row>
    <row r="448" spans="1:5" ht="15" customHeight="1" x14ac:dyDescent="0.2">
      <c r="A448" s="460"/>
      <c r="B448" s="469"/>
      <c r="C448" s="470"/>
      <c r="D448" s="460"/>
      <c r="E448" s="460" t="str">
        <f t="shared" si="14"/>
        <v/>
      </c>
    </row>
    <row r="449" spans="1:5" ht="15" customHeight="1" x14ac:dyDescent="0.2">
      <c r="A449" s="460"/>
      <c r="B449" s="469"/>
      <c r="C449" s="470"/>
      <c r="D449" s="460"/>
      <c r="E449" s="460" t="str">
        <f t="shared" si="14"/>
        <v/>
      </c>
    </row>
    <row r="450" spans="1:5" ht="15" customHeight="1" x14ac:dyDescent="0.2">
      <c r="A450" s="460"/>
      <c r="B450" s="469"/>
      <c r="C450" s="470"/>
      <c r="D450" s="460"/>
      <c r="E450" s="460" t="str">
        <f t="shared" si="14"/>
        <v/>
      </c>
    </row>
    <row r="451" spans="1:5" ht="15" customHeight="1" x14ac:dyDescent="0.2">
      <c r="A451" s="460"/>
      <c r="B451" s="469"/>
      <c r="C451" s="470"/>
      <c r="D451" s="460"/>
      <c r="E451" s="460" t="str">
        <f t="shared" si="14"/>
        <v/>
      </c>
    </row>
    <row r="452" spans="1:5" ht="15" customHeight="1" x14ac:dyDescent="0.2">
      <c r="A452" s="460"/>
      <c r="B452" s="469"/>
      <c r="C452" s="470"/>
      <c r="D452" s="460"/>
      <c r="E452" s="460" t="str">
        <f t="shared" ref="E452:E457" si="15">IFERROR(VLOOKUP(D452,Tabla_Indices,5,FALSE),"")</f>
        <v/>
      </c>
    </row>
    <row r="453" spans="1:5" ht="15" customHeight="1" x14ac:dyDescent="0.2">
      <c r="A453" s="460"/>
      <c r="B453" s="469"/>
      <c r="C453" s="470"/>
      <c r="D453" s="460"/>
      <c r="E453" s="460" t="str">
        <f t="shared" si="15"/>
        <v/>
      </c>
    </row>
    <row r="454" spans="1:5" ht="15" customHeight="1" x14ac:dyDescent="0.2">
      <c r="A454" s="460"/>
      <c r="B454" s="469"/>
      <c r="C454" s="470"/>
      <c r="D454" s="460"/>
      <c r="E454" s="460" t="str">
        <f t="shared" si="15"/>
        <v/>
      </c>
    </row>
    <row r="455" spans="1:5" ht="15" customHeight="1" x14ac:dyDescent="0.2">
      <c r="A455" s="388"/>
      <c r="B455" s="469"/>
      <c r="C455" s="470"/>
      <c r="D455" s="460"/>
      <c r="E455" s="460" t="str">
        <f t="shared" si="15"/>
        <v/>
      </c>
    </row>
    <row r="456" spans="1:5" ht="15" customHeight="1" x14ac:dyDescent="0.2">
      <c r="A456" s="388"/>
      <c r="B456" s="469"/>
      <c r="C456" s="470"/>
      <c r="D456" s="460"/>
      <c r="E456" s="460" t="str">
        <f t="shared" si="15"/>
        <v/>
      </c>
    </row>
    <row r="457" spans="1:5" ht="15" customHeight="1" x14ac:dyDescent="0.2">
      <c r="A457" s="388"/>
      <c r="B457" s="469"/>
      <c r="C457" s="470"/>
      <c r="D457" s="460"/>
      <c r="E457" s="460" t="str">
        <f t="shared" si="15"/>
        <v/>
      </c>
    </row>
    <row r="460" spans="1:5" ht="15" customHeight="1" x14ac:dyDescent="0.2">
      <c r="A460" s="466" t="s">
        <v>1252</v>
      </c>
      <c r="E460" s="465" t="str">
        <f t="shared" ref="E460:E492" si="16">IFERROR(VLOOKUP(D460,Tabla_Indices,5,FALSE),"")</f>
        <v/>
      </c>
    </row>
    <row r="461" spans="1:5" ht="15" customHeight="1" x14ac:dyDescent="0.2">
      <c r="A461" s="460"/>
      <c r="B461" s="469"/>
      <c r="C461" s="470"/>
      <c r="D461" s="460"/>
      <c r="E461" s="460" t="str">
        <f t="shared" si="16"/>
        <v/>
      </c>
    </row>
    <row r="462" spans="1:5" ht="15" customHeight="1" x14ac:dyDescent="0.2">
      <c r="A462" s="460"/>
      <c r="B462" s="469"/>
      <c r="C462" s="470"/>
      <c r="D462" s="460"/>
      <c r="E462" s="460" t="str">
        <f t="shared" si="16"/>
        <v/>
      </c>
    </row>
    <row r="463" spans="1:5" ht="15" customHeight="1" x14ac:dyDescent="0.2">
      <c r="A463" s="460"/>
      <c r="B463" s="469"/>
      <c r="C463" s="470"/>
      <c r="D463" s="460"/>
      <c r="E463" s="460" t="str">
        <f t="shared" si="16"/>
        <v/>
      </c>
    </row>
    <row r="464" spans="1:5" ht="15" customHeight="1" x14ac:dyDescent="0.2">
      <c r="A464" s="460"/>
      <c r="B464" s="469"/>
      <c r="C464" s="470"/>
      <c r="D464" s="460"/>
      <c r="E464" s="460" t="str">
        <f t="shared" si="16"/>
        <v/>
      </c>
    </row>
    <row r="465" spans="1:5" ht="15" customHeight="1" x14ac:dyDescent="0.2">
      <c r="A465" s="460"/>
      <c r="B465" s="469"/>
      <c r="C465" s="470"/>
      <c r="D465" s="460"/>
      <c r="E465" s="460" t="str">
        <f t="shared" si="16"/>
        <v/>
      </c>
    </row>
    <row r="466" spans="1:5" ht="15" customHeight="1" x14ac:dyDescent="0.2">
      <c r="A466" s="460"/>
      <c r="B466" s="469"/>
      <c r="C466" s="470"/>
      <c r="D466" s="460"/>
      <c r="E466" s="460" t="str">
        <f t="shared" si="16"/>
        <v/>
      </c>
    </row>
    <row r="467" spans="1:5" ht="15" customHeight="1" x14ac:dyDescent="0.2">
      <c r="A467" s="460"/>
      <c r="B467" s="469"/>
      <c r="C467" s="470"/>
      <c r="D467" s="460"/>
      <c r="E467" s="460" t="str">
        <f t="shared" si="16"/>
        <v/>
      </c>
    </row>
    <row r="468" spans="1:5" ht="15" customHeight="1" x14ac:dyDescent="0.2">
      <c r="A468" s="460"/>
      <c r="B468" s="469"/>
      <c r="C468" s="470"/>
      <c r="D468" s="460"/>
      <c r="E468" s="460" t="str">
        <f t="shared" si="16"/>
        <v/>
      </c>
    </row>
    <row r="469" spans="1:5" ht="15" customHeight="1" x14ac:dyDescent="0.2">
      <c r="A469" s="460"/>
      <c r="B469" s="469"/>
      <c r="C469" s="470"/>
      <c r="D469" s="460"/>
      <c r="E469" s="460" t="str">
        <f t="shared" si="16"/>
        <v/>
      </c>
    </row>
    <row r="470" spans="1:5" ht="15" customHeight="1" x14ac:dyDescent="0.2">
      <c r="A470" s="460"/>
      <c r="B470" s="469"/>
      <c r="C470" s="470"/>
      <c r="D470" s="460"/>
      <c r="E470" s="460" t="str">
        <f t="shared" si="16"/>
        <v/>
      </c>
    </row>
    <row r="471" spans="1:5" ht="15" customHeight="1" x14ac:dyDescent="0.2">
      <c r="A471" s="460"/>
      <c r="B471" s="469"/>
      <c r="C471" s="470"/>
      <c r="D471" s="460"/>
      <c r="E471" s="460" t="str">
        <f t="shared" si="16"/>
        <v/>
      </c>
    </row>
    <row r="472" spans="1:5" ht="15" customHeight="1" x14ac:dyDescent="0.2">
      <c r="A472" s="460"/>
      <c r="B472" s="469"/>
      <c r="C472" s="470"/>
      <c r="D472" s="460"/>
      <c r="E472" s="460" t="str">
        <f t="shared" si="16"/>
        <v/>
      </c>
    </row>
    <row r="473" spans="1:5" ht="15" customHeight="1" x14ac:dyDescent="0.2">
      <c r="A473" s="460"/>
      <c r="B473" s="469"/>
      <c r="C473" s="470"/>
      <c r="D473" s="460"/>
      <c r="E473" s="460" t="str">
        <f t="shared" si="16"/>
        <v/>
      </c>
    </row>
    <row r="474" spans="1:5" ht="15" customHeight="1" x14ac:dyDescent="0.2">
      <c r="A474" s="460"/>
      <c r="B474" s="469"/>
      <c r="C474" s="470"/>
      <c r="D474" s="460"/>
      <c r="E474" s="460" t="str">
        <f t="shared" si="16"/>
        <v/>
      </c>
    </row>
    <row r="475" spans="1:5" ht="15" customHeight="1" x14ac:dyDescent="0.2">
      <c r="A475" s="460"/>
      <c r="B475" s="469"/>
      <c r="C475" s="470"/>
      <c r="D475" s="460"/>
      <c r="E475" s="460" t="str">
        <f t="shared" si="16"/>
        <v/>
      </c>
    </row>
    <row r="476" spans="1:5" ht="15" customHeight="1" x14ac:dyDescent="0.2">
      <c r="A476" s="460"/>
      <c r="B476" s="469"/>
      <c r="C476" s="470"/>
      <c r="D476" s="460"/>
      <c r="E476" s="460" t="str">
        <f t="shared" si="16"/>
        <v/>
      </c>
    </row>
    <row r="477" spans="1:5" ht="15" customHeight="1" x14ac:dyDescent="0.2">
      <c r="A477" s="460"/>
      <c r="B477" s="469"/>
      <c r="C477" s="470"/>
      <c r="D477" s="460"/>
      <c r="E477" s="460" t="str">
        <f t="shared" si="16"/>
        <v/>
      </c>
    </row>
    <row r="478" spans="1:5" ht="15" customHeight="1" x14ac:dyDescent="0.2">
      <c r="A478" s="460"/>
      <c r="B478" s="469"/>
      <c r="C478" s="470"/>
      <c r="D478" s="460"/>
      <c r="E478" s="460" t="str">
        <f t="shared" si="16"/>
        <v/>
      </c>
    </row>
    <row r="479" spans="1:5" ht="15" customHeight="1" x14ac:dyDescent="0.2">
      <c r="A479" s="460"/>
      <c r="B479" s="469"/>
      <c r="C479" s="470"/>
      <c r="D479" s="460"/>
      <c r="E479" s="460" t="str">
        <f t="shared" si="16"/>
        <v/>
      </c>
    </row>
    <row r="480" spans="1:5" ht="15" customHeight="1" x14ac:dyDescent="0.2">
      <c r="A480" s="460"/>
      <c r="B480" s="469"/>
      <c r="C480" s="470"/>
      <c r="D480" s="460"/>
      <c r="E480" s="460" t="str">
        <f t="shared" si="16"/>
        <v/>
      </c>
    </row>
    <row r="481" spans="1:5" ht="15" customHeight="1" x14ac:dyDescent="0.2">
      <c r="A481" s="460"/>
      <c r="B481" s="469"/>
      <c r="C481" s="470"/>
      <c r="D481" s="460"/>
      <c r="E481" s="460" t="str">
        <f t="shared" si="16"/>
        <v/>
      </c>
    </row>
    <row r="482" spans="1:5" ht="15" customHeight="1" x14ac:dyDescent="0.2">
      <c r="A482" s="460"/>
      <c r="B482" s="469"/>
      <c r="C482" s="470"/>
      <c r="D482" s="460"/>
      <c r="E482" s="460" t="str">
        <f t="shared" si="16"/>
        <v/>
      </c>
    </row>
    <row r="483" spans="1:5" ht="15" customHeight="1" x14ac:dyDescent="0.2">
      <c r="A483" s="460"/>
      <c r="B483" s="469"/>
      <c r="C483" s="470"/>
      <c r="D483" s="460"/>
      <c r="E483" s="460" t="str">
        <f t="shared" si="16"/>
        <v/>
      </c>
    </row>
    <row r="484" spans="1:5" ht="15" customHeight="1" x14ac:dyDescent="0.2">
      <c r="A484" s="460"/>
      <c r="B484" s="469"/>
      <c r="C484" s="470"/>
      <c r="D484" s="460"/>
      <c r="E484" s="460" t="str">
        <f t="shared" si="16"/>
        <v/>
      </c>
    </row>
    <row r="485" spans="1:5" ht="15" customHeight="1" x14ac:dyDescent="0.2">
      <c r="A485" s="460"/>
      <c r="B485" s="469"/>
      <c r="C485" s="470"/>
      <c r="D485" s="460"/>
      <c r="E485" s="460" t="str">
        <f t="shared" si="16"/>
        <v/>
      </c>
    </row>
    <row r="486" spans="1:5" ht="15" customHeight="1" x14ac:dyDescent="0.2">
      <c r="A486" s="460"/>
      <c r="B486" s="469"/>
      <c r="C486" s="470"/>
      <c r="D486" s="460"/>
      <c r="E486" s="460" t="str">
        <f t="shared" si="16"/>
        <v/>
      </c>
    </row>
    <row r="487" spans="1:5" ht="15" customHeight="1" x14ac:dyDescent="0.2">
      <c r="A487" s="460"/>
      <c r="B487" s="469"/>
      <c r="C487" s="470"/>
      <c r="D487" s="460"/>
      <c r="E487" s="460" t="str">
        <f t="shared" si="16"/>
        <v/>
      </c>
    </row>
    <row r="488" spans="1:5" ht="15" customHeight="1" x14ac:dyDescent="0.2">
      <c r="A488" s="460"/>
      <c r="B488" s="469"/>
      <c r="C488" s="470"/>
      <c r="D488" s="460"/>
      <c r="E488" s="460" t="str">
        <f t="shared" si="16"/>
        <v/>
      </c>
    </row>
    <row r="489" spans="1:5" ht="15" customHeight="1" x14ac:dyDescent="0.2">
      <c r="A489" s="460"/>
      <c r="B489" s="469"/>
      <c r="C489" s="470"/>
      <c r="D489" s="460"/>
      <c r="E489" s="460" t="str">
        <f t="shared" si="16"/>
        <v/>
      </c>
    </row>
    <row r="490" spans="1:5" ht="15" customHeight="1" x14ac:dyDescent="0.2">
      <c r="A490" s="460"/>
      <c r="B490" s="469"/>
      <c r="C490" s="470"/>
      <c r="D490" s="460"/>
      <c r="E490" s="460" t="str">
        <f t="shared" si="16"/>
        <v/>
      </c>
    </row>
    <row r="491" spans="1:5" ht="15" customHeight="1" x14ac:dyDescent="0.2">
      <c r="A491" s="460"/>
      <c r="B491" s="469"/>
      <c r="C491" s="470"/>
      <c r="D491" s="460"/>
      <c r="E491" s="460" t="str">
        <f>IFERROR(VLOOKUP(D491,Tabla_Indices,5,FALSE),"")</f>
        <v/>
      </c>
    </row>
    <row r="492" spans="1:5" ht="15" customHeight="1" x14ac:dyDescent="0.2">
      <c r="A492" s="460"/>
      <c r="B492" s="469"/>
      <c r="C492" s="470"/>
      <c r="D492" s="460"/>
      <c r="E492" s="460" t="str">
        <f t="shared" si="16"/>
        <v/>
      </c>
    </row>
    <row r="493" spans="1:5" ht="15" customHeight="1" x14ac:dyDescent="0.2">
      <c r="A493" s="460"/>
      <c r="B493" s="469"/>
      <c r="C493" s="470"/>
      <c r="D493" s="460"/>
      <c r="E493" s="460" t="str">
        <f t="shared" ref="E493:E504" si="17">IFERROR(VLOOKUP(D493,Tabla_Indices,5,FALSE),"")</f>
        <v/>
      </c>
    </row>
    <row r="494" spans="1:5" ht="15" customHeight="1" x14ac:dyDescent="0.2">
      <c r="A494" s="460"/>
      <c r="B494" s="469"/>
      <c r="C494" s="470"/>
      <c r="D494" s="460"/>
      <c r="E494" s="460" t="str">
        <f t="shared" si="17"/>
        <v/>
      </c>
    </row>
    <row r="495" spans="1:5" ht="15" customHeight="1" x14ac:dyDescent="0.2">
      <c r="A495" s="460"/>
      <c r="B495" s="469"/>
      <c r="C495" s="470"/>
      <c r="D495" s="460"/>
      <c r="E495" s="460" t="str">
        <f t="shared" si="17"/>
        <v/>
      </c>
    </row>
    <row r="496" spans="1:5" ht="15" customHeight="1" x14ac:dyDescent="0.2">
      <c r="A496" s="460"/>
      <c r="B496" s="469"/>
      <c r="C496" s="470"/>
      <c r="D496" s="460"/>
      <c r="E496" s="460" t="str">
        <f t="shared" si="17"/>
        <v/>
      </c>
    </row>
    <row r="497" spans="1:5" ht="15" customHeight="1" x14ac:dyDescent="0.2">
      <c r="A497" s="460"/>
      <c r="B497" s="469"/>
      <c r="C497" s="470"/>
      <c r="D497" s="460"/>
      <c r="E497" s="460" t="str">
        <f t="shared" si="17"/>
        <v/>
      </c>
    </row>
    <row r="498" spans="1:5" ht="15" customHeight="1" x14ac:dyDescent="0.2">
      <c r="A498" s="460"/>
      <c r="B498" s="469"/>
      <c r="C498" s="470"/>
      <c r="D498" s="460"/>
      <c r="E498" s="460" t="str">
        <f t="shared" ref="E498:E503" si="18">IFERROR(VLOOKUP(D498,Tabla_Indices,5,FALSE),"")</f>
        <v/>
      </c>
    </row>
    <row r="499" spans="1:5" ht="15" customHeight="1" x14ac:dyDescent="0.2">
      <c r="A499" s="460"/>
      <c r="B499" s="469"/>
      <c r="C499" s="470"/>
      <c r="D499" s="460"/>
      <c r="E499" s="460" t="str">
        <f t="shared" si="18"/>
        <v/>
      </c>
    </row>
    <row r="500" spans="1:5" ht="15" customHeight="1" x14ac:dyDescent="0.2">
      <c r="A500" s="460"/>
      <c r="B500" s="469"/>
      <c r="C500" s="470"/>
      <c r="D500" s="460"/>
      <c r="E500" s="460" t="str">
        <f t="shared" si="18"/>
        <v/>
      </c>
    </row>
    <row r="501" spans="1:5" ht="15" customHeight="1" x14ac:dyDescent="0.2">
      <c r="A501" s="460"/>
      <c r="B501" s="469"/>
      <c r="C501" s="470"/>
      <c r="D501" s="460"/>
      <c r="E501" s="460" t="str">
        <f t="shared" si="18"/>
        <v/>
      </c>
    </row>
    <row r="502" spans="1:5" ht="15" customHeight="1" x14ac:dyDescent="0.2">
      <c r="A502" s="460"/>
      <c r="B502" s="469"/>
      <c r="C502" s="470"/>
      <c r="D502" s="460"/>
      <c r="E502" s="460" t="str">
        <f t="shared" si="18"/>
        <v/>
      </c>
    </row>
    <row r="503" spans="1:5" ht="15" customHeight="1" x14ac:dyDescent="0.2">
      <c r="A503" s="460"/>
      <c r="B503" s="469"/>
      <c r="C503" s="470"/>
      <c r="D503" s="460"/>
      <c r="E503" s="460" t="str">
        <f t="shared" si="18"/>
        <v/>
      </c>
    </row>
    <row r="504" spans="1:5" ht="15.75" customHeight="1" x14ac:dyDescent="0.2">
      <c r="E504" s="465" t="str">
        <f t="shared" si="17"/>
        <v/>
      </c>
    </row>
    <row r="505" spans="1:5" ht="15" customHeight="1" x14ac:dyDescent="0.2">
      <c r="A505" s="466"/>
    </row>
    <row r="515" spans="1:1" ht="15" customHeight="1" x14ac:dyDescent="0.2">
      <c r="A515" s="464"/>
    </row>
    <row r="525" spans="1:1" ht="15" customHeight="1" x14ac:dyDescent="0.2">
      <c r="A525" s="466"/>
    </row>
    <row r="535" spans="3:4" ht="15" customHeight="1" x14ac:dyDescent="0.2">
      <c r="C535" s="101"/>
      <c r="D535" s="573"/>
    </row>
    <row r="536" spans="3:4" ht="15" customHeight="1" x14ac:dyDescent="0.2">
      <c r="D536" s="468"/>
    </row>
  </sheetData>
  <sortState ref="I1:I3789">
    <sortCondition ref="I1:I3789"/>
  </sortState>
  <conditionalFormatting sqref="C535">
    <cfRule type="expression" dxfId="96" priority="2" stopIfTrue="1">
      <formula>#REF!=1</formula>
    </cfRule>
  </conditionalFormatting>
  <pageMargins left="1.1811023622047245" right="0.78740157480314965" top="1.1811023622047245" bottom="0.78740157480314965" header="0.39370078740157483" footer="0.39370078740157483"/>
  <pageSetup paperSize="9" scale="76" fitToHeight="111" orientation="landscape" r:id="rId1"/>
  <headerFooter>
    <oddHeader>&amp;L&amp;G</oddHead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dimension ref="A1:G969"/>
  <sheetViews>
    <sheetView topLeftCell="A345" workbookViewId="0">
      <selection activeCell="J362" sqref="J362"/>
    </sheetView>
  </sheetViews>
  <sheetFormatPr baseColWidth="10" defaultColWidth="11.42578125" defaultRowHeight="11.25" x14ac:dyDescent="0.2"/>
  <cols>
    <col min="1" max="1" width="22" style="11" bestFit="1" customWidth="1"/>
    <col min="2" max="2" width="6.140625" style="11" customWidth="1"/>
    <col min="3" max="3" width="1.42578125" style="11" customWidth="1"/>
    <col min="4" max="4" width="2.7109375" style="9" customWidth="1"/>
    <col min="5" max="5" width="33.85546875" style="11" customWidth="1"/>
    <col min="6" max="7" width="10.7109375" style="11" customWidth="1"/>
    <col min="8" max="16384" width="11.42578125" style="11"/>
  </cols>
  <sheetData>
    <row r="1" spans="1:7" s="7" customFormat="1" x14ac:dyDescent="0.2">
      <c r="B1" s="7" t="s">
        <v>547</v>
      </c>
      <c r="D1" s="8"/>
    </row>
    <row r="3" spans="1:7" ht="12.75" customHeight="1" x14ac:dyDescent="0.2">
      <c r="A3" s="642" t="s">
        <v>348</v>
      </c>
      <c r="B3" s="9" t="s">
        <v>43</v>
      </c>
      <c r="C3" s="10"/>
      <c r="D3" s="10"/>
      <c r="E3" s="642" t="s">
        <v>44</v>
      </c>
      <c r="F3" s="10"/>
      <c r="G3" s="10"/>
    </row>
    <row r="4" spans="1:7" x14ac:dyDescent="0.2">
      <c r="A4" s="642"/>
      <c r="B4" s="9" t="s">
        <v>45</v>
      </c>
      <c r="C4" s="10"/>
      <c r="D4" s="10"/>
      <c r="E4" s="642"/>
      <c r="F4" s="10"/>
      <c r="G4" s="10"/>
    </row>
    <row r="5" spans="1:7" x14ac:dyDescent="0.2">
      <c r="A5" s="8"/>
      <c r="B5" s="8"/>
      <c r="C5" s="8"/>
      <c r="D5" s="8"/>
      <c r="E5" s="8"/>
      <c r="F5" s="8"/>
      <c r="G5" s="8"/>
    </row>
    <row r="6" spans="1:7" ht="11.25" customHeight="1" x14ac:dyDescent="0.2">
      <c r="A6" s="9" t="str">
        <f t="shared" ref="A6:A69" si="0">CONCATENATE("INDEC-CM - ",B6,C6,D6)</f>
        <v>INDEC-CM - 37210-51</v>
      </c>
      <c r="B6" s="12">
        <v>37210</v>
      </c>
      <c r="C6" s="13" t="s">
        <v>46</v>
      </c>
      <c r="D6" s="9">
        <v>51</v>
      </c>
      <c r="E6" s="11" t="s">
        <v>47</v>
      </c>
    </row>
    <row r="7" spans="1:7" x14ac:dyDescent="0.2">
      <c r="A7" s="9" t="str">
        <f t="shared" si="0"/>
        <v>INDEC-CM - 37210-52</v>
      </c>
      <c r="B7" s="12">
        <v>37210</v>
      </c>
      <c r="C7" s="13" t="s">
        <v>46</v>
      </c>
      <c r="D7" s="9">
        <v>52</v>
      </c>
      <c r="E7" s="11" t="s">
        <v>48</v>
      </c>
    </row>
    <row r="8" spans="1:7" x14ac:dyDescent="0.2">
      <c r="A8" s="9" t="str">
        <f t="shared" si="0"/>
        <v>INDEC-CM - 42911-81</v>
      </c>
      <c r="B8" s="12">
        <v>42911</v>
      </c>
      <c r="C8" s="13" t="s">
        <v>46</v>
      </c>
      <c r="D8" s="9">
        <v>81</v>
      </c>
      <c r="E8" s="14" t="s">
        <v>49</v>
      </c>
      <c r="F8" s="14"/>
      <c r="G8" s="14"/>
    </row>
    <row r="9" spans="1:7" x14ac:dyDescent="0.2">
      <c r="A9" s="9" t="str">
        <f t="shared" si="0"/>
        <v>INDEC-CM - 41242-11</v>
      </c>
      <c r="B9" s="12">
        <v>41242</v>
      </c>
      <c r="C9" s="13" t="s">
        <v>46</v>
      </c>
      <c r="D9" s="9">
        <v>11</v>
      </c>
      <c r="E9" s="14" t="s">
        <v>50</v>
      </c>
      <c r="F9" s="14"/>
      <c r="G9" s="14"/>
    </row>
    <row r="10" spans="1:7" x14ac:dyDescent="0.2">
      <c r="A10" s="9" t="str">
        <f t="shared" si="0"/>
        <v>INDEC-CM - 37440-21</v>
      </c>
      <c r="B10" s="12">
        <v>37440</v>
      </c>
      <c r="C10" s="13" t="s">
        <v>46</v>
      </c>
      <c r="D10" s="9">
        <v>21</v>
      </c>
      <c r="E10" s="11" t="s">
        <v>51</v>
      </c>
    </row>
    <row r="11" spans="1:7" x14ac:dyDescent="0.2">
      <c r="A11" s="9" t="str">
        <f t="shared" si="0"/>
        <v>INDEC-CM - 38130-13</v>
      </c>
      <c r="B11" s="12">
        <v>38130</v>
      </c>
      <c r="C11" s="13" t="s">
        <v>46</v>
      </c>
      <c r="D11" s="9">
        <v>13</v>
      </c>
      <c r="E11" s="14" t="s">
        <v>52</v>
      </c>
      <c r="F11" s="14"/>
      <c r="G11" s="14"/>
    </row>
    <row r="12" spans="1:7" x14ac:dyDescent="0.2">
      <c r="A12" s="9" t="str">
        <f t="shared" si="0"/>
        <v>INDEC-CM - 38130-12</v>
      </c>
      <c r="B12" s="12">
        <v>38130</v>
      </c>
      <c r="C12" s="13" t="s">
        <v>46</v>
      </c>
      <c r="D12" s="9">
        <v>12</v>
      </c>
      <c r="E12" s="14" t="s">
        <v>53</v>
      </c>
      <c r="F12" s="14"/>
      <c r="G12" s="14"/>
    </row>
    <row r="13" spans="1:7" x14ac:dyDescent="0.2">
      <c r="A13" s="9" t="str">
        <f t="shared" si="0"/>
        <v>INDEC-CM - 38130-11</v>
      </c>
      <c r="B13" s="12">
        <v>38130</v>
      </c>
      <c r="C13" s="13" t="s">
        <v>46</v>
      </c>
      <c r="D13" s="9">
        <v>11</v>
      </c>
      <c r="E13" s="14" t="s">
        <v>54</v>
      </c>
      <c r="F13" s="14"/>
      <c r="G13" s="14"/>
    </row>
    <row r="14" spans="1:7" x14ac:dyDescent="0.2">
      <c r="A14" s="9" t="str">
        <f t="shared" si="0"/>
        <v>INDEC-CM - 27230-11</v>
      </c>
      <c r="B14" s="12">
        <v>27230</v>
      </c>
      <c r="C14" s="13" t="s">
        <v>46</v>
      </c>
      <c r="D14" s="9">
        <v>11</v>
      </c>
      <c r="E14" s="14" t="s">
        <v>55</v>
      </c>
      <c r="F14" s="14"/>
      <c r="G14" s="14"/>
    </row>
    <row r="15" spans="1:7" x14ac:dyDescent="0.2">
      <c r="A15" s="9" t="str">
        <f t="shared" si="0"/>
        <v>INDEC-CM - 44821-11</v>
      </c>
      <c r="B15" s="12">
        <v>44821</v>
      </c>
      <c r="C15" s="13" t="s">
        <v>46</v>
      </c>
      <c r="D15" s="9">
        <v>11</v>
      </c>
      <c r="E15" s="11" t="s">
        <v>56</v>
      </c>
    </row>
    <row r="16" spans="1:7" x14ac:dyDescent="0.2">
      <c r="A16" s="9" t="str">
        <f t="shared" si="0"/>
        <v>INDEC-CM - 37560-11</v>
      </c>
      <c r="B16" s="12">
        <v>37560</v>
      </c>
      <c r="C16" s="13" t="s">
        <v>46</v>
      </c>
      <c r="D16" s="9">
        <v>11</v>
      </c>
      <c r="E16" s="14" t="s">
        <v>57</v>
      </c>
      <c r="F16" s="14"/>
      <c r="G16" s="14"/>
    </row>
    <row r="17" spans="1:7" x14ac:dyDescent="0.2">
      <c r="A17" s="9" t="str">
        <f t="shared" si="0"/>
        <v>INDEC-CM - 15400-11</v>
      </c>
      <c r="B17" s="12">
        <v>15400</v>
      </c>
      <c r="C17" s="13" t="s">
        <v>46</v>
      </c>
      <c r="D17" s="9">
        <v>11</v>
      </c>
      <c r="E17" s="14" t="s">
        <v>58</v>
      </c>
      <c r="F17" s="14"/>
      <c r="G17" s="14"/>
    </row>
    <row r="18" spans="1:7" x14ac:dyDescent="0.2">
      <c r="A18" s="9" t="str">
        <f t="shared" si="0"/>
        <v>INDEC-CM - 15310-11</v>
      </c>
      <c r="B18" s="12">
        <v>15310</v>
      </c>
      <c r="C18" s="13" t="s">
        <v>46</v>
      </c>
      <c r="D18" s="9">
        <v>11</v>
      </c>
      <c r="E18" s="11" t="s">
        <v>59</v>
      </c>
    </row>
    <row r="19" spans="1:7" x14ac:dyDescent="0.2">
      <c r="A19" s="9" t="str">
        <f t="shared" si="0"/>
        <v>INDEC-CM - 46531-11</v>
      </c>
      <c r="B19" s="12">
        <v>46531</v>
      </c>
      <c r="C19" s="13" t="s">
        <v>46</v>
      </c>
      <c r="D19" s="9">
        <v>11</v>
      </c>
      <c r="E19" s="14" t="s">
        <v>60</v>
      </c>
      <c r="F19" s="14"/>
      <c r="G19" s="14"/>
    </row>
    <row r="20" spans="1:7" x14ac:dyDescent="0.2">
      <c r="A20" s="9" t="str">
        <f t="shared" si="0"/>
        <v>INDEC-CM - 43540-11</v>
      </c>
      <c r="B20" s="12">
        <v>43540</v>
      </c>
      <c r="C20" s="13" t="s">
        <v>46</v>
      </c>
      <c r="D20" s="9">
        <v>11</v>
      </c>
      <c r="E20" s="11" t="s">
        <v>61</v>
      </c>
    </row>
    <row r="21" spans="1:7" x14ac:dyDescent="0.2">
      <c r="A21" s="9" t="str">
        <f t="shared" si="0"/>
        <v>INDEC-CM - 43540-12</v>
      </c>
      <c r="B21" s="12">
        <v>43540</v>
      </c>
      <c r="C21" s="13" t="s">
        <v>46</v>
      </c>
      <c r="D21" s="9">
        <v>12</v>
      </c>
      <c r="E21" s="11" t="s">
        <v>62</v>
      </c>
    </row>
    <row r="22" spans="1:7" x14ac:dyDescent="0.2">
      <c r="A22" s="9" t="str">
        <f t="shared" si="0"/>
        <v>INDEC-CM - 37370-21</v>
      </c>
      <c r="B22" s="12">
        <v>37370</v>
      </c>
      <c r="C22" s="13" t="s">
        <v>46</v>
      </c>
      <c r="D22" s="9">
        <v>21</v>
      </c>
      <c r="E22" s="11" t="s">
        <v>63</v>
      </c>
    </row>
    <row r="23" spans="1:7" x14ac:dyDescent="0.2">
      <c r="A23" s="9" t="str">
        <f t="shared" si="0"/>
        <v>INDEC-CM - 37370-11</v>
      </c>
      <c r="B23" s="12">
        <v>37370</v>
      </c>
      <c r="C23" s="13" t="s">
        <v>46</v>
      </c>
      <c r="D23" s="9">
        <v>11</v>
      </c>
      <c r="E23" s="11" t="s">
        <v>64</v>
      </c>
    </row>
    <row r="24" spans="1:7" x14ac:dyDescent="0.2">
      <c r="A24" s="9" t="str">
        <f t="shared" si="0"/>
        <v>INDEC-CM - 37370-12</v>
      </c>
      <c r="B24" s="12">
        <v>37370</v>
      </c>
      <c r="C24" s="13" t="s">
        <v>46</v>
      </c>
      <c r="D24" s="9">
        <v>12</v>
      </c>
      <c r="E24" s="11" t="s">
        <v>65</v>
      </c>
    </row>
    <row r="25" spans="1:7" x14ac:dyDescent="0.2">
      <c r="A25" s="9" t="str">
        <f t="shared" si="0"/>
        <v>INDEC-CM - 37690-11</v>
      </c>
      <c r="B25" s="12">
        <v>37690</v>
      </c>
      <c r="C25" s="13" t="s">
        <v>46</v>
      </c>
      <c r="D25" s="9">
        <v>11</v>
      </c>
      <c r="E25" s="11" t="s">
        <v>66</v>
      </c>
    </row>
    <row r="26" spans="1:7" x14ac:dyDescent="0.2">
      <c r="A26" s="9" t="str">
        <f t="shared" si="0"/>
        <v>INDEC-CM - 42911-11</v>
      </c>
      <c r="B26" s="12">
        <v>42911</v>
      </c>
      <c r="C26" s="13" t="s">
        <v>46</v>
      </c>
      <c r="D26" s="9">
        <v>11</v>
      </c>
      <c r="E26" s="11" t="s">
        <v>67</v>
      </c>
    </row>
    <row r="27" spans="1:7" x14ac:dyDescent="0.2">
      <c r="A27" s="9" t="str">
        <f t="shared" si="0"/>
        <v>INDEC-CM - 37129-11</v>
      </c>
      <c r="B27" s="12">
        <v>37129</v>
      </c>
      <c r="C27" s="13" t="s">
        <v>46</v>
      </c>
      <c r="D27" s="9">
        <v>11</v>
      </c>
      <c r="E27" s="11" t="s">
        <v>68</v>
      </c>
    </row>
    <row r="28" spans="1:7" x14ac:dyDescent="0.2">
      <c r="A28" s="9" t="str">
        <f t="shared" si="0"/>
        <v>INDEC-CM - 35110-41</v>
      </c>
      <c r="B28" s="12">
        <v>35110</v>
      </c>
      <c r="C28" s="13" t="s">
        <v>46</v>
      </c>
      <c r="D28" s="9">
        <v>41</v>
      </c>
      <c r="E28" s="11" t="s">
        <v>69</v>
      </c>
    </row>
    <row r="29" spans="1:7" x14ac:dyDescent="0.2">
      <c r="A29" s="9" t="str">
        <f t="shared" si="0"/>
        <v>INDEC-CM - 37210-23</v>
      </c>
      <c r="B29" s="12">
        <v>37210</v>
      </c>
      <c r="C29" s="13" t="s">
        <v>46</v>
      </c>
      <c r="D29" s="9">
        <v>23</v>
      </c>
      <c r="E29" s="11" t="s">
        <v>70</v>
      </c>
    </row>
    <row r="30" spans="1:7" x14ac:dyDescent="0.2">
      <c r="A30" s="9" t="str">
        <f t="shared" si="0"/>
        <v>INDEC-CM - 37210-22</v>
      </c>
      <c r="B30" s="12">
        <v>37210</v>
      </c>
      <c r="C30" s="13" t="s">
        <v>46</v>
      </c>
      <c r="D30" s="9">
        <v>22</v>
      </c>
      <c r="E30" s="11" t="s">
        <v>71</v>
      </c>
    </row>
    <row r="31" spans="1:7" x14ac:dyDescent="0.2">
      <c r="A31" s="9" t="str">
        <f t="shared" si="0"/>
        <v>INDEC-CM - 37210-21</v>
      </c>
      <c r="B31" s="12">
        <v>37210</v>
      </c>
      <c r="C31" s="13" t="s">
        <v>46</v>
      </c>
      <c r="D31" s="9">
        <v>21</v>
      </c>
      <c r="E31" s="11" t="s">
        <v>72</v>
      </c>
    </row>
    <row r="32" spans="1:7" x14ac:dyDescent="0.2">
      <c r="A32" s="9" t="str">
        <f t="shared" si="0"/>
        <v>INDEC-CM - 41543-21</v>
      </c>
      <c r="B32" s="12">
        <v>41543</v>
      </c>
      <c r="C32" s="13" t="s">
        <v>46</v>
      </c>
      <c r="D32" s="9">
        <v>21</v>
      </c>
      <c r="E32" s="11" t="s">
        <v>73</v>
      </c>
    </row>
    <row r="33" spans="1:5" x14ac:dyDescent="0.2">
      <c r="A33" s="9" t="str">
        <f t="shared" si="0"/>
        <v>INDEC-CM - 46340-31</v>
      </c>
      <c r="B33" s="12">
        <v>46340</v>
      </c>
      <c r="C33" s="13" t="s">
        <v>46</v>
      </c>
      <c r="D33" s="9">
        <v>31</v>
      </c>
      <c r="E33" s="11" t="s">
        <v>74</v>
      </c>
    </row>
    <row r="34" spans="1:5" x14ac:dyDescent="0.2">
      <c r="A34" s="9" t="str">
        <f t="shared" si="0"/>
        <v>INDEC-CM - 46320-11</v>
      </c>
      <c r="B34" s="12">
        <v>46320</v>
      </c>
      <c r="C34" s="13" t="s">
        <v>46</v>
      </c>
      <c r="D34" s="9">
        <v>11</v>
      </c>
      <c r="E34" s="11" t="s">
        <v>75</v>
      </c>
    </row>
    <row r="35" spans="1:5" x14ac:dyDescent="0.2">
      <c r="A35" s="9" t="str">
        <f t="shared" si="0"/>
        <v>INDEC-CM - 46340-11</v>
      </c>
      <c r="B35" s="12">
        <v>46340</v>
      </c>
      <c r="C35" s="13" t="s">
        <v>46</v>
      </c>
      <c r="D35" s="9">
        <v>11</v>
      </c>
      <c r="E35" s="11" t="s">
        <v>76</v>
      </c>
    </row>
    <row r="36" spans="1:5" x14ac:dyDescent="0.2">
      <c r="A36" s="9" t="str">
        <f t="shared" si="0"/>
        <v>INDEC-CM - 46340-12</v>
      </c>
      <c r="B36" s="12">
        <v>46340</v>
      </c>
      <c r="C36" s="13" t="s">
        <v>46</v>
      </c>
      <c r="D36" s="9">
        <v>12</v>
      </c>
      <c r="E36" s="11" t="s">
        <v>77</v>
      </c>
    </row>
    <row r="37" spans="1:5" x14ac:dyDescent="0.2">
      <c r="A37" s="9" t="str">
        <f t="shared" si="0"/>
        <v>INDEC-CM - 46340-21</v>
      </c>
      <c r="B37" s="12">
        <v>46340</v>
      </c>
      <c r="C37" s="13" t="s">
        <v>46</v>
      </c>
      <c r="D37" s="9">
        <v>21</v>
      </c>
      <c r="E37" s="11" t="s">
        <v>78</v>
      </c>
    </row>
    <row r="38" spans="1:5" x14ac:dyDescent="0.2">
      <c r="A38" s="9" t="str">
        <f t="shared" si="0"/>
        <v>INDEC-CM - 46212-21</v>
      </c>
      <c r="B38" s="12">
        <v>46212</v>
      </c>
      <c r="C38" s="13" t="s">
        <v>46</v>
      </c>
      <c r="D38" s="9">
        <v>21</v>
      </c>
      <c r="E38" s="11" t="s">
        <v>79</v>
      </c>
    </row>
    <row r="39" spans="1:5" x14ac:dyDescent="0.2">
      <c r="A39" s="9" t="str">
        <f t="shared" si="0"/>
        <v>INDEC-CM - 42999-23</v>
      </c>
      <c r="B39" s="12">
        <v>42999</v>
      </c>
      <c r="C39" s="13" t="s">
        <v>46</v>
      </c>
      <c r="D39" s="9">
        <v>23</v>
      </c>
      <c r="E39" s="11" t="s">
        <v>80</v>
      </c>
    </row>
    <row r="40" spans="1:5" x14ac:dyDescent="0.2">
      <c r="A40" s="9" t="str">
        <f t="shared" si="0"/>
        <v>INDEC-CM - 42999-21</v>
      </c>
      <c r="B40" s="12">
        <v>42999</v>
      </c>
      <c r="C40" s="13" t="s">
        <v>46</v>
      </c>
      <c r="D40" s="9">
        <v>21</v>
      </c>
      <c r="E40" s="11" t="s">
        <v>81</v>
      </c>
    </row>
    <row r="41" spans="1:5" x14ac:dyDescent="0.2">
      <c r="A41" s="9" t="str">
        <f t="shared" si="0"/>
        <v>INDEC-CM - 42999-31</v>
      </c>
      <c r="B41" s="12">
        <v>42999</v>
      </c>
      <c r="C41" s="13" t="s">
        <v>46</v>
      </c>
      <c r="D41" s="9">
        <v>31</v>
      </c>
      <c r="E41" s="11" t="s">
        <v>82</v>
      </c>
    </row>
    <row r="42" spans="1:5" x14ac:dyDescent="0.2">
      <c r="A42" s="9" t="str">
        <f t="shared" si="0"/>
        <v>INDEC-CM - 42999-22</v>
      </c>
      <c r="B42" s="12">
        <v>42999</v>
      </c>
      <c r="C42" s="13" t="s">
        <v>46</v>
      </c>
      <c r="D42" s="9">
        <v>22</v>
      </c>
      <c r="E42" s="11" t="s">
        <v>83</v>
      </c>
    </row>
    <row r="43" spans="1:5" x14ac:dyDescent="0.2">
      <c r="A43" s="9" t="str">
        <f t="shared" si="0"/>
        <v>INDEC-CM - 31600-63</v>
      </c>
      <c r="B43" s="12">
        <v>31600</v>
      </c>
      <c r="C43" s="13" t="s">
        <v>46</v>
      </c>
      <c r="D43" s="9">
        <v>63</v>
      </c>
      <c r="E43" s="11" t="s">
        <v>84</v>
      </c>
    </row>
    <row r="44" spans="1:5" x14ac:dyDescent="0.2">
      <c r="A44" s="9" t="str">
        <f t="shared" si="0"/>
        <v>INDEC-CM - 31600-62</v>
      </c>
      <c r="B44" s="12">
        <v>31600</v>
      </c>
      <c r="C44" s="13" t="s">
        <v>46</v>
      </c>
      <c r="D44" s="9">
        <v>62</v>
      </c>
      <c r="E44" s="11" t="s">
        <v>85</v>
      </c>
    </row>
    <row r="45" spans="1:5" x14ac:dyDescent="0.2">
      <c r="A45" s="9" t="str">
        <f t="shared" si="0"/>
        <v>INDEC-CM - 31600-61</v>
      </c>
      <c r="B45" s="12">
        <v>31600</v>
      </c>
      <c r="C45" s="13" t="s">
        <v>46</v>
      </c>
      <c r="D45" s="9">
        <v>61</v>
      </c>
      <c r="E45" s="11" t="s">
        <v>86</v>
      </c>
    </row>
    <row r="46" spans="1:5" x14ac:dyDescent="0.2">
      <c r="A46" s="9" t="str">
        <f t="shared" si="0"/>
        <v>INDEC-CM - 37420-11</v>
      </c>
      <c r="B46" s="12">
        <v>37420</v>
      </c>
      <c r="C46" s="13" t="s">
        <v>46</v>
      </c>
      <c r="D46" s="9">
        <v>11</v>
      </c>
      <c r="E46" s="11" t="s">
        <v>87</v>
      </c>
    </row>
    <row r="47" spans="1:5" x14ac:dyDescent="0.2">
      <c r="A47" s="9" t="str">
        <f t="shared" si="0"/>
        <v>INDEC-CM - 37420-12</v>
      </c>
      <c r="B47" s="12">
        <v>37420</v>
      </c>
      <c r="C47" s="13" t="s">
        <v>46</v>
      </c>
      <c r="D47" s="9">
        <v>12</v>
      </c>
      <c r="E47" s="11" t="s">
        <v>88</v>
      </c>
    </row>
    <row r="48" spans="1:5" x14ac:dyDescent="0.2">
      <c r="A48" s="9" t="str">
        <f t="shared" si="0"/>
        <v>INDEC-CM - 44822-11</v>
      </c>
      <c r="B48" s="12">
        <v>44822</v>
      </c>
      <c r="C48" s="13" t="s">
        <v>46</v>
      </c>
      <c r="D48" s="9">
        <v>11</v>
      </c>
      <c r="E48" s="11" t="s">
        <v>89</v>
      </c>
    </row>
    <row r="49" spans="1:5" x14ac:dyDescent="0.2">
      <c r="A49" s="9" t="str">
        <f t="shared" si="0"/>
        <v>INDEC-CM - 44826-11</v>
      </c>
      <c r="B49" s="12">
        <v>44826</v>
      </c>
      <c r="C49" s="13" t="s">
        <v>46</v>
      </c>
      <c r="D49" s="9">
        <v>11</v>
      </c>
      <c r="E49" s="11" t="s">
        <v>90</v>
      </c>
    </row>
    <row r="50" spans="1:5" x14ac:dyDescent="0.2">
      <c r="A50" s="9" t="str">
        <f t="shared" si="0"/>
        <v>INDEC-CM - 44826-12</v>
      </c>
      <c r="B50" s="12">
        <v>44826</v>
      </c>
      <c r="C50" s="13" t="s">
        <v>46</v>
      </c>
      <c r="D50" s="9">
        <v>12</v>
      </c>
      <c r="E50" s="11" t="s">
        <v>91</v>
      </c>
    </row>
    <row r="51" spans="1:5" x14ac:dyDescent="0.2">
      <c r="A51" s="9" t="str">
        <f t="shared" si="0"/>
        <v>INDEC-CM - 42911-21</v>
      </c>
      <c r="B51" s="12">
        <v>42911</v>
      </c>
      <c r="C51" s="13" t="s">
        <v>46</v>
      </c>
      <c r="D51" s="9">
        <v>21</v>
      </c>
      <c r="E51" s="11" t="s">
        <v>92</v>
      </c>
    </row>
    <row r="52" spans="1:5" x14ac:dyDescent="0.2">
      <c r="A52" s="9" t="str">
        <f t="shared" si="0"/>
        <v>INDEC-CM - 41277-21</v>
      </c>
      <c r="B52" s="12">
        <v>41277</v>
      </c>
      <c r="C52" s="13" t="s">
        <v>46</v>
      </c>
      <c r="D52" s="9">
        <v>21</v>
      </c>
      <c r="E52" s="11" t="s">
        <v>93</v>
      </c>
    </row>
    <row r="53" spans="1:5" x14ac:dyDescent="0.2">
      <c r="A53" s="9" t="str">
        <f t="shared" si="0"/>
        <v>INDEC-CM - 41277-11</v>
      </c>
      <c r="B53" s="12">
        <v>41277</v>
      </c>
      <c r="C53" s="13" t="s">
        <v>46</v>
      </c>
      <c r="D53" s="9">
        <v>11</v>
      </c>
      <c r="E53" s="11" t="s">
        <v>94</v>
      </c>
    </row>
    <row r="54" spans="1:5" x14ac:dyDescent="0.2">
      <c r="A54" s="9" t="str">
        <f t="shared" si="0"/>
        <v>INDEC-CM - 41516-11</v>
      </c>
      <c r="B54" s="12">
        <v>41516</v>
      </c>
      <c r="C54" s="13" t="s">
        <v>46</v>
      </c>
      <c r="D54" s="9">
        <v>11</v>
      </c>
      <c r="E54" s="11" t="s">
        <v>95</v>
      </c>
    </row>
    <row r="55" spans="1:5" x14ac:dyDescent="0.2">
      <c r="A55" s="9" t="str">
        <f t="shared" si="0"/>
        <v>INDEC-CM - 41516-12</v>
      </c>
      <c r="B55" s="12">
        <v>41516</v>
      </c>
      <c r="C55" s="13" t="s">
        <v>46</v>
      </c>
      <c r="D55" s="9">
        <v>12</v>
      </c>
      <c r="E55" s="11" t="s">
        <v>96</v>
      </c>
    </row>
    <row r="56" spans="1:5" x14ac:dyDescent="0.2">
      <c r="A56" s="9" t="str">
        <f t="shared" si="0"/>
        <v>INDEC-CM - 41273-11</v>
      </c>
      <c r="B56" s="12">
        <v>41273</v>
      </c>
      <c r="C56" s="13" t="s">
        <v>46</v>
      </c>
      <c r="D56" s="9">
        <v>11</v>
      </c>
      <c r="E56" s="11" t="s">
        <v>97</v>
      </c>
    </row>
    <row r="57" spans="1:5" x14ac:dyDescent="0.2">
      <c r="A57" s="9" t="str">
        <f t="shared" si="0"/>
        <v>INDEC-CM - 41273-12</v>
      </c>
      <c r="B57" s="12">
        <v>41273</v>
      </c>
      <c r="C57" s="13" t="s">
        <v>46</v>
      </c>
      <c r="D57" s="9">
        <v>12</v>
      </c>
      <c r="E57" s="11" t="s">
        <v>98</v>
      </c>
    </row>
    <row r="58" spans="1:5" x14ac:dyDescent="0.2">
      <c r="A58" s="9" t="str">
        <f t="shared" si="0"/>
        <v>INDEC-CM - 41277-41</v>
      </c>
      <c r="B58" s="12">
        <v>41277</v>
      </c>
      <c r="C58" s="13" t="s">
        <v>46</v>
      </c>
      <c r="D58" s="9">
        <v>41</v>
      </c>
      <c r="E58" s="11" t="s">
        <v>99</v>
      </c>
    </row>
    <row r="59" spans="1:5" x14ac:dyDescent="0.2">
      <c r="A59" s="9" t="str">
        <f t="shared" si="0"/>
        <v>INDEC-CM - 41277-31</v>
      </c>
      <c r="B59" s="12">
        <v>41277</v>
      </c>
      <c r="C59" s="13" t="s">
        <v>46</v>
      </c>
      <c r="D59" s="9">
        <v>31</v>
      </c>
      <c r="E59" s="11" t="s">
        <v>100</v>
      </c>
    </row>
    <row r="60" spans="1:5" x14ac:dyDescent="0.2">
      <c r="A60" s="9" t="str">
        <f t="shared" si="0"/>
        <v>INDEC-CM - 41543-11</v>
      </c>
      <c r="B60" s="12">
        <v>41543</v>
      </c>
      <c r="C60" s="13" t="s">
        <v>46</v>
      </c>
      <c r="D60" s="9">
        <v>11</v>
      </c>
      <c r="E60" s="11" t="s">
        <v>101</v>
      </c>
    </row>
    <row r="61" spans="1:5" x14ac:dyDescent="0.2">
      <c r="A61" s="9" t="str">
        <f t="shared" si="0"/>
        <v>INDEC-CM - 36320-21</v>
      </c>
      <c r="B61" s="12">
        <v>36320</v>
      </c>
      <c r="C61" s="13" t="s">
        <v>46</v>
      </c>
      <c r="D61" s="9">
        <v>21</v>
      </c>
      <c r="E61" s="11" t="s">
        <v>102</v>
      </c>
    </row>
    <row r="62" spans="1:5" x14ac:dyDescent="0.2">
      <c r="A62" s="9" t="str">
        <f t="shared" si="0"/>
        <v>INDEC-CM - 36320-22</v>
      </c>
      <c r="B62" s="12">
        <v>36320</v>
      </c>
      <c r="C62" s="13" t="s">
        <v>46</v>
      </c>
      <c r="D62" s="9">
        <v>22</v>
      </c>
      <c r="E62" s="11" t="s">
        <v>103</v>
      </c>
    </row>
    <row r="63" spans="1:5" x14ac:dyDescent="0.2">
      <c r="A63" s="9" t="str">
        <f t="shared" si="0"/>
        <v>INDEC-CM - 36320-11</v>
      </c>
      <c r="B63" s="12">
        <v>36320</v>
      </c>
      <c r="C63" s="13" t="s">
        <v>46</v>
      </c>
      <c r="D63" s="9">
        <v>11</v>
      </c>
      <c r="E63" s="11" t="s">
        <v>104</v>
      </c>
    </row>
    <row r="64" spans="1:5" x14ac:dyDescent="0.2">
      <c r="A64" s="9" t="str">
        <f t="shared" si="0"/>
        <v>INDEC-CM - 36320-12</v>
      </c>
      <c r="B64" s="12">
        <v>36320</v>
      </c>
      <c r="C64" s="13" t="s">
        <v>46</v>
      </c>
      <c r="D64" s="9">
        <v>12</v>
      </c>
      <c r="E64" s="11" t="s">
        <v>105</v>
      </c>
    </row>
    <row r="65" spans="1:7" x14ac:dyDescent="0.2">
      <c r="A65" s="9" t="str">
        <f t="shared" si="0"/>
        <v>INDEC-CM - 15320-11</v>
      </c>
      <c r="B65" s="12">
        <v>15320</v>
      </c>
      <c r="C65" s="13" t="s">
        <v>46</v>
      </c>
      <c r="D65" s="9">
        <v>11</v>
      </c>
      <c r="E65" s="11" t="s">
        <v>106</v>
      </c>
    </row>
    <row r="66" spans="1:7" x14ac:dyDescent="0.2">
      <c r="A66" s="9" t="str">
        <f t="shared" si="0"/>
        <v>INDEC-CM - 37350-61</v>
      </c>
      <c r="B66" s="12">
        <v>37350</v>
      </c>
      <c r="C66" s="13" t="s">
        <v>46</v>
      </c>
      <c r="D66" s="9">
        <v>61</v>
      </c>
      <c r="E66" s="14" t="s">
        <v>107</v>
      </c>
      <c r="F66" s="14"/>
      <c r="G66" s="14"/>
    </row>
    <row r="67" spans="1:7" x14ac:dyDescent="0.2">
      <c r="A67" s="9" t="str">
        <f t="shared" si="0"/>
        <v>INDEC-CM - 37440-31</v>
      </c>
      <c r="B67" s="12">
        <v>37440</v>
      </c>
      <c r="C67" s="13" t="s">
        <v>46</v>
      </c>
      <c r="D67" s="9">
        <v>31</v>
      </c>
      <c r="E67" s="11" t="s">
        <v>108</v>
      </c>
    </row>
    <row r="68" spans="1:7" x14ac:dyDescent="0.2">
      <c r="A68" s="9" t="str">
        <f t="shared" si="0"/>
        <v>INDEC-CM - 37440-11</v>
      </c>
      <c r="B68" s="12">
        <v>37440</v>
      </c>
      <c r="C68" s="13" t="s">
        <v>46</v>
      </c>
      <c r="D68" s="9">
        <v>11</v>
      </c>
      <c r="E68" s="11" t="s">
        <v>109</v>
      </c>
    </row>
    <row r="69" spans="1:7" x14ac:dyDescent="0.2">
      <c r="A69" s="9" t="str">
        <f t="shared" si="0"/>
        <v>INDEC-CM - 44821-21</v>
      </c>
      <c r="B69" s="12">
        <v>44821</v>
      </c>
      <c r="C69" s="13" t="s">
        <v>46</v>
      </c>
      <c r="D69" s="9">
        <v>21</v>
      </c>
      <c r="E69" s="11" t="s">
        <v>110</v>
      </c>
    </row>
    <row r="70" spans="1:7" x14ac:dyDescent="0.2">
      <c r="A70" s="9" t="str">
        <f t="shared" ref="A70:A133" si="1">CONCATENATE("INDEC-CM - ",B70,C70,D70)</f>
        <v>INDEC-CM - 36320-31</v>
      </c>
      <c r="B70" s="12">
        <v>36320</v>
      </c>
      <c r="C70" s="13" t="s">
        <v>46</v>
      </c>
      <c r="D70" s="9">
        <v>31</v>
      </c>
      <c r="E70" s="11" t="s">
        <v>111</v>
      </c>
    </row>
    <row r="71" spans="1:7" x14ac:dyDescent="0.2">
      <c r="A71" s="9" t="str">
        <f t="shared" si="1"/>
        <v>INDEC-CM - 41278-12</v>
      </c>
      <c r="B71" s="12">
        <v>41278</v>
      </c>
      <c r="C71" s="13" t="s">
        <v>46</v>
      </c>
      <c r="D71" s="9">
        <v>12</v>
      </c>
      <c r="E71" s="14" t="s">
        <v>112</v>
      </c>
      <c r="F71" s="14"/>
      <c r="G71" s="14"/>
    </row>
    <row r="72" spans="1:7" x14ac:dyDescent="0.2">
      <c r="A72" s="9" t="str">
        <f t="shared" si="1"/>
        <v>INDEC-CM - 41278-11</v>
      </c>
      <c r="B72" s="12">
        <v>41278</v>
      </c>
      <c r="C72" s="13" t="s">
        <v>46</v>
      </c>
      <c r="D72" s="9">
        <v>11</v>
      </c>
      <c r="E72" s="14" t="s">
        <v>113</v>
      </c>
      <c r="F72" s="14"/>
      <c r="G72" s="14"/>
    </row>
    <row r="73" spans="1:7" x14ac:dyDescent="0.2">
      <c r="A73" s="9" t="str">
        <f t="shared" si="1"/>
        <v>INDEC-CM - 36320-41</v>
      </c>
      <c r="B73" s="12">
        <v>36320</v>
      </c>
      <c r="C73" s="13" t="s">
        <v>46</v>
      </c>
      <c r="D73" s="9">
        <v>41</v>
      </c>
      <c r="E73" s="11" t="s">
        <v>114</v>
      </c>
    </row>
    <row r="74" spans="1:7" x14ac:dyDescent="0.2">
      <c r="A74" s="9" t="str">
        <f t="shared" si="1"/>
        <v>INDEC-CM - 41516-21</v>
      </c>
      <c r="B74" s="12">
        <v>41516</v>
      </c>
      <c r="C74" s="13" t="s">
        <v>46</v>
      </c>
      <c r="D74" s="9">
        <v>21</v>
      </c>
      <c r="E74" s="11" t="s">
        <v>115</v>
      </c>
    </row>
    <row r="75" spans="1:7" x14ac:dyDescent="0.2">
      <c r="A75" s="9" t="str">
        <f t="shared" si="1"/>
        <v>INDEC-CM - 41278-22</v>
      </c>
      <c r="B75" s="12">
        <v>41278</v>
      </c>
      <c r="C75" s="13" t="s">
        <v>46</v>
      </c>
      <c r="D75" s="9">
        <v>22</v>
      </c>
      <c r="E75" s="14" t="s">
        <v>116</v>
      </c>
      <c r="F75" s="14"/>
      <c r="G75" s="14"/>
    </row>
    <row r="76" spans="1:7" x14ac:dyDescent="0.2">
      <c r="A76" s="9" t="str">
        <f t="shared" si="1"/>
        <v>INDEC-CM - 46350-11</v>
      </c>
      <c r="B76" s="12">
        <v>46350</v>
      </c>
      <c r="C76" s="13" t="s">
        <v>46</v>
      </c>
      <c r="D76" s="9">
        <v>11</v>
      </c>
      <c r="E76" s="11" t="s">
        <v>117</v>
      </c>
    </row>
    <row r="77" spans="1:7" x14ac:dyDescent="0.2">
      <c r="A77" s="9" t="str">
        <f t="shared" si="1"/>
        <v>INDEC-CM - 41278-41</v>
      </c>
      <c r="B77" s="12">
        <v>41278</v>
      </c>
      <c r="C77" s="13" t="s">
        <v>46</v>
      </c>
      <c r="D77" s="9">
        <v>41</v>
      </c>
      <c r="E77" s="14" t="s">
        <v>118</v>
      </c>
      <c r="F77" s="14"/>
      <c r="G77" s="14"/>
    </row>
    <row r="78" spans="1:7" x14ac:dyDescent="0.2">
      <c r="A78" s="9" t="str">
        <f t="shared" si="1"/>
        <v>INDEC-CM - 42999-11</v>
      </c>
      <c r="B78" s="12">
        <v>42999</v>
      </c>
      <c r="C78" s="13" t="s">
        <v>46</v>
      </c>
      <c r="D78" s="9">
        <v>11</v>
      </c>
      <c r="E78" s="11" t="s">
        <v>119</v>
      </c>
    </row>
    <row r="79" spans="1:7" x14ac:dyDescent="0.2">
      <c r="A79" s="9" t="str">
        <f t="shared" si="1"/>
        <v>INDEC-CM - 36320-51</v>
      </c>
      <c r="B79" s="12">
        <v>36320</v>
      </c>
      <c r="C79" s="13" t="s">
        <v>46</v>
      </c>
      <c r="D79" s="9">
        <v>51</v>
      </c>
      <c r="E79" s="11" t="s">
        <v>120</v>
      </c>
    </row>
    <row r="80" spans="1:7" x14ac:dyDescent="0.2">
      <c r="A80" s="9" t="str">
        <f t="shared" si="1"/>
        <v>INDEC-CM - 31600-12</v>
      </c>
      <c r="B80" s="12">
        <v>31600</v>
      </c>
      <c r="C80" s="13" t="s">
        <v>46</v>
      </c>
      <c r="D80" s="9">
        <v>12</v>
      </c>
      <c r="E80" s="11" t="s">
        <v>121</v>
      </c>
    </row>
    <row r="81" spans="1:7" x14ac:dyDescent="0.2">
      <c r="A81" s="9" t="str">
        <f t="shared" si="1"/>
        <v>INDEC-CM - 36950-11</v>
      </c>
      <c r="B81" s="12">
        <v>36950</v>
      </c>
      <c r="C81" s="13" t="s">
        <v>46</v>
      </c>
      <c r="D81" s="9">
        <v>11</v>
      </c>
      <c r="E81" s="11" t="s">
        <v>122</v>
      </c>
    </row>
    <row r="82" spans="1:7" x14ac:dyDescent="0.2">
      <c r="A82" s="9" t="str">
        <f t="shared" si="1"/>
        <v>INDEC-CM - 31600-11</v>
      </c>
      <c r="B82" s="12">
        <v>31600</v>
      </c>
      <c r="C82" s="13" t="s">
        <v>46</v>
      </c>
      <c r="D82" s="9">
        <v>11</v>
      </c>
      <c r="E82" s="11" t="s">
        <v>123</v>
      </c>
    </row>
    <row r="83" spans="1:7" x14ac:dyDescent="0.2">
      <c r="A83" s="9" t="str">
        <f t="shared" si="1"/>
        <v>INDEC-CM - 37112-11</v>
      </c>
      <c r="B83" s="12">
        <v>37112</v>
      </c>
      <c r="C83" s="13" t="s">
        <v>46</v>
      </c>
      <c r="D83" s="9">
        <v>11</v>
      </c>
      <c r="E83" s="11" t="s">
        <v>124</v>
      </c>
    </row>
    <row r="84" spans="1:7" x14ac:dyDescent="0.2">
      <c r="A84" s="9" t="str">
        <f t="shared" si="1"/>
        <v>INDEC-CM - 41278-31</v>
      </c>
      <c r="B84" s="12">
        <v>41278</v>
      </c>
      <c r="C84" s="13" t="s">
        <v>46</v>
      </c>
      <c r="D84" s="9">
        <v>31</v>
      </c>
      <c r="E84" s="14" t="s">
        <v>125</v>
      </c>
      <c r="F84" s="14"/>
      <c r="G84" s="14"/>
    </row>
    <row r="85" spans="1:7" x14ac:dyDescent="0.2">
      <c r="A85" s="9" t="str">
        <f t="shared" si="1"/>
        <v>INDEC-CM - 41278-13</v>
      </c>
      <c r="B85" s="12">
        <v>41278</v>
      </c>
      <c r="C85" s="13" t="s">
        <v>46</v>
      </c>
      <c r="D85" s="9">
        <v>13</v>
      </c>
      <c r="E85" s="14" t="s">
        <v>126</v>
      </c>
      <c r="F85" s="14"/>
      <c r="G85" s="14"/>
    </row>
    <row r="86" spans="1:7" x14ac:dyDescent="0.2">
      <c r="A86" s="9" t="str">
        <f t="shared" si="1"/>
        <v>INDEC-CM - 37570-11</v>
      </c>
      <c r="B86" s="12">
        <v>37570</v>
      </c>
      <c r="C86" s="13" t="s">
        <v>46</v>
      </c>
      <c r="D86" s="9">
        <v>11</v>
      </c>
      <c r="E86" s="14" t="s">
        <v>127</v>
      </c>
      <c r="F86" s="14"/>
      <c r="G86" s="14"/>
    </row>
    <row r="87" spans="1:7" x14ac:dyDescent="0.2">
      <c r="A87" s="9" t="str">
        <f t="shared" si="1"/>
        <v>INDEC-CM - 43220-11</v>
      </c>
      <c r="B87" s="12">
        <v>43220</v>
      </c>
      <c r="C87" s="13" t="s">
        <v>46</v>
      </c>
      <c r="D87" s="9">
        <v>11</v>
      </c>
      <c r="E87" s="11" t="s">
        <v>128</v>
      </c>
    </row>
    <row r="88" spans="1:7" x14ac:dyDescent="0.2">
      <c r="A88" s="9" t="str">
        <f t="shared" si="1"/>
        <v>INDEC-CM - 43220-12</v>
      </c>
      <c r="B88" s="12">
        <v>43220</v>
      </c>
      <c r="C88" s="13" t="s">
        <v>46</v>
      </c>
      <c r="D88" s="9">
        <v>12</v>
      </c>
      <c r="E88" s="11" t="s">
        <v>129</v>
      </c>
    </row>
    <row r="89" spans="1:7" x14ac:dyDescent="0.2">
      <c r="A89" s="9" t="str">
        <f t="shared" si="1"/>
        <v>INDEC-CM - 43220-21</v>
      </c>
      <c r="B89" s="12">
        <v>43220</v>
      </c>
      <c r="C89" s="13" t="s">
        <v>46</v>
      </c>
      <c r="D89" s="9">
        <v>21</v>
      </c>
      <c r="E89" s="11" t="s">
        <v>130</v>
      </c>
    </row>
    <row r="90" spans="1:7" x14ac:dyDescent="0.2">
      <c r="A90" s="9" t="str">
        <f t="shared" si="1"/>
        <v>INDEC-CM - 43220-22</v>
      </c>
      <c r="B90" s="12">
        <v>43220</v>
      </c>
      <c r="C90" s="13" t="s">
        <v>46</v>
      </c>
      <c r="D90" s="9">
        <v>22</v>
      </c>
      <c r="E90" s="11" t="s">
        <v>131</v>
      </c>
    </row>
    <row r="91" spans="1:7" x14ac:dyDescent="0.2">
      <c r="A91" s="9" t="str">
        <f t="shared" si="1"/>
        <v>INDEC-CM - 43220-23</v>
      </c>
      <c r="B91" s="12">
        <v>43220</v>
      </c>
      <c r="C91" s="13" t="s">
        <v>46</v>
      </c>
      <c r="D91" s="9">
        <v>23</v>
      </c>
      <c r="E91" s="11" t="s">
        <v>132</v>
      </c>
    </row>
    <row r="92" spans="1:7" x14ac:dyDescent="0.2">
      <c r="A92" s="9" t="str">
        <f t="shared" si="1"/>
        <v>INDEC-CM - 43220-31</v>
      </c>
      <c r="B92" s="12">
        <v>43220</v>
      </c>
      <c r="C92" s="13" t="s">
        <v>46</v>
      </c>
      <c r="D92" s="9">
        <v>31</v>
      </c>
      <c r="E92" s="11" t="s">
        <v>133</v>
      </c>
    </row>
    <row r="93" spans="1:7" x14ac:dyDescent="0.2">
      <c r="A93" s="9" t="str">
        <f t="shared" si="1"/>
        <v>INDEC-CM - 43220-32</v>
      </c>
      <c r="B93" s="12">
        <v>43220</v>
      </c>
      <c r="C93" s="13" t="s">
        <v>46</v>
      </c>
      <c r="D93" s="9">
        <v>32</v>
      </c>
      <c r="E93" s="11" t="s">
        <v>134</v>
      </c>
    </row>
    <row r="94" spans="1:7" x14ac:dyDescent="0.2">
      <c r="A94" s="9" t="str">
        <f t="shared" si="1"/>
        <v>INDEC-CM - 41278-32</v>
      </c>
      <c r="B94" s="12">
        <v>41278</v>
      </c>
      <c r="C94" s="13" t="s">
        <v>46</v>
      </c>
      <c r="D94" s="9">
        <v>32</v>
      </c>
      <c r="E94" s="14" t="s">
        <v>135</v>
      </c>
      <c r="F94" s="14"/>
      <c r="G94" s="14"/>
    </row>
    <row r="95" spans="1:7" x14ac:dyDescent="0.2">
      <c r="A95" s="9" t="str">
        <f t="shared" si="1"/>
        <v>INDEC-CM - 36320-32</v>
      </c>
      <c r="B95" s="12">
        <v>36320</v>
      </c>
      <c r="C95" s="13" t="s">
        <v>46</v>
      </c>
      <c r="D95" s="9">
        <v>32</v>
      </c>
      <c r="E95" s="11" t="s">
        <v>136</v>
      </c>
    </row>
    <row r="96" spans="1:7" x14ac:dyDescent="0.2">
      <c r="A96" s="9" t="str">
        <f t="shared" si="1"/>
        <v>INDEC-CM - 41278-23</v>
      </c>
      <c r="B96" s="12">
        <v>41278</v>
      </c>
      <c r="C96" s="13" t="s">
        <v>46</v>
      </c>
      <c r="D96" s="9">
        <v>23</v>
      </c>
      <c r="E96" s="14" t="s">
        <v>137</v>
      </c>
      <c r="F96" s="14"/>
      <c r="G96" s="14"/>
    </row>
    <row r="97" spans="1:5" x14ac:dyDescent="0.2">
      <c r="A97" s="9" t="str">
        <f t="shared" si="1"/>
        <v>INDEC-CM - 35110-11</v>
      </c>
      <c r="B97" s="12">
        <v>35110</v>
      </c>
      <c r="C97" s="13" t="s">
        <v>46</v>
      </c>
      <c r="D97" s="9">
        <v>11</v>
      </c>
      <c r="E97" s="11" t="s">
        <v>138</v>
      </c>
    </row>
    <row r="98" spans="1:5" x14ac:dyDescent="0.2">
      <c r="A98" s="9" t="str">
        <f t="shared" si="1"/>
        <v>INDEC-CM - 35110-12</v>
      </c>
      <c r="B98" s="12">
        <v>35110</v>
      </c>
      <c r="C98" s="13" t="s">
        <v>46</v>
      </c>
      <c r="D98" s="9">
        <v>12</v>
      </c>
      <c r="E98" s="11" t="s">
        <v>139</v>
      </c>
    </row>
    <row r="99" spans="1:5" x14ac:dyDescent="0.2">
      <c r="A99" s="9" t="str">
        <f t="shared" si="1"/>
        <v>INDEC-CM - 35110-21</v>
      </c>
      <c r="B99" s="12">
        <v>35110</v>
      </c>
      <c r="C99" s="13" t="s">
        <v>46</v>
      </c>
      <c r="D99" s="9">
        <v>21</v>
      </c>
      <c r="E99" s="11" t="s">
        <v>140</v>
      </c>
    </row>
    <row r="100" spans="1:5" x14ac:dyDescent="0.2">
      <c r="A100" s="9" t="str">
        <f t="shared" si="1"/>
        <v>INDEC-CM - 35110-22</v>
      </c>
      <c r="B100" s="12">
        <v>35110</v>
      </c>
      <c r="C100" s="13" t="s">
        <v>46</v>
      </c>
      <c r="D100" s="9">
        <v>22</v>
      </c>
      <c r="E100" s="11" t="s">
        <v>141</v>
      </c>
    </row>
    <row r="101" spans="1:5" x14ac:dyDescent="0.2">
      <c r="A101" s="9" t="str">
        <f t="shared" si="1"/>
        <v>INDEC-CM - 41547-11</v>
      </c>
      <c r="B101" s="12">
        <v>41547</v>
      </c>
      <c r="C101" s="13" t="s">
        <v>46</v>
      </c>
      <c r="D101" s="9">
        <v>11</v>
      </c>
      <c r="E101" s="11" t="s">
        <v>142</v>
      </c>
    </row>
    <row r="102" spans="1:5" x14ac:dyDescent="0.2">
      <c r="A102" s="9" t="str">
        <f t="shared" si="1"/>
        <v>INDEC-CM - 31600-73</v>
      </c>
      <c r="B102" s="12">
        <v>31600</v>
      </c>
      <c r="C102" s="13" t="s">
        <v>46</v>
      </c>
      <c r="D102" s="9">
        <v>73</v>
      </c>
      <c r="E102" s="11" t="s">
        <v>143</v>
      </c>
    </row>
    <row r="103" spans="1:5" x14ac:dyDescent="0.2">
      <c r="A103" s="9" t="str">
        <f t="shared" si="1"/>
        <v>INDEC-CM - 31600-72</v>
      </c>
      <c r="B103" s="12">
        <v>31600</v>
      </c>
      <c r="C103" s="13" t="s">
        <v>46</v>
      </c>
      <c r="D103" s="9">
        <v>72</v>
      </c>
      <c r="E103" s="11" t="s">
        <v>144</v>
      </c>
    </row>
    <row r="104" spans="1:5" x14ac:dyDescent="0.2">
      <c r="A104" s="9" t="str">
        <f t="shared" si="1"/>
        <v>INDEC-CM - 31600-71</v>
      </c>
      <c r="B104" s="12">
        <v>31600</v>
      </c>
      <c r="C104" s="13" t="s">
        <v>46</v>
      </c>
      <c r="D104" s="9">
        <v>71</v>
      </c>
      <c r="E104" s="11" t="s">
        <v>145</v>
      </c>
    </row>
    <row r="105" spans="1:5" x14ac:dyDescent="0.2">
      <c r="A105" s="9" t="str">
        <f t="shared" si="1"/>
        <v>INDEC-CM - 35110-61</v>
      </c>
      <c r="B105" s="12">
        <v>35110</v>
      </c>
      <c r="C105" s="13" t="s">
        <v>46</v>
      </c>
      <c r="D105" s="9">
        <v>61</v>
      </c>
      <c r="E105" s="11" t="s">
        <v>146</v>
      </c>
    </row>
    <row r="106" spans="1:5" x14ac:dyDescent="0.2">
      <c r="A106" s="9" t="str">
        <f t="shared" si="1"/>
        <v>INDEC-CM - 31600-53</v>
      </c>
      <c r="B106" s="12">
        <v>31600</v>
      </c>
      <c r="C106" s="13" t="s">
        <v>46</v>
      </c>
      <c r="D106" s="9">
        <v>53</v>
      </c>
      <c r="E106" s="11" t="s">
        <v>147</v>
      </c>
    </row>
    <row r="107" spans="1:5" x14ac:dyDescent="0.2">
      <c r="A107" s="9" t="str">
        <f t="shared" si="1"/>
        <v>INDEC-CM - 31600-51</v>
      </c>
      <c r="B107" s="12">
        <v>31600</v>
      </c>
      <c r="C107" s="13" t="s">
        <v>46</v>
      </c>
      <c r="D107" s="9">
        <v>51</v>
      </c>
      <c r="E107" s="11" t="s">
        <v>148</v>
      </c>
    </row>
    <row r="108" spans="1:5" x14ac:dyDescent="0.2">
      <c r="A108" s="9" t="str">
        <f t="shared" si="1"/>
        <v>INDEC-CM - 37550-21</v>
      </c>
      <c r="B108" s="12">
        <v>37550</v>
      </c>
      <c r="C108" s="13" t="s">
        <v>46</v>
      </c>
      <c r="D108" s="9">
        <v>21</v>
      </c>
      <c r="E108" s="11" t="s">
        <v>149</v>
      </c>
    </row>
    <row r="109" spans="1:5" x14ac:dyDescent="0.2">
      <c r="A109" s="9" t="str">
        <f t="shared" si="1"/>
        <v>INDEC-CM - 42999-41</v>
      </c>
      <c r="B109" s="12">
        <v>42999</v>
      </c>
      <c r="C109" s="13" t="s">
        <v>46</v>
      </c>
      <c r="D109" s="9">
        <v>41</v>
      </c>
      <c r="E109" s="11" t="s">
        <v>150</v>
      </c>
    </row>
    <row r="110" spans="1:5" x14ac:dyDescent="0.2">
      <c r="A110" s="9" t="str">
        <f t="shared" si="1"/>
        <v>INDEC-CM - 42911-53</v>
      </c>
      <c r="B110" s="12">
        <v>42911</v>
      </c>
      <c r="C110" s="13" t="s">
        <v>46</v>
      </c>
      <c r="D110" s="9">
        <v>53</v>
      </c>
      <c r="E110" s="11" t="s">
        <v>151</v>
      </c>
    </row>
    <row r="111" spans="1:5" x14ac:dyDescent="0.2">
      <c r="A111" s="9" t="str">
        <f t="shared" si="1"/>
        <v>INDEC-CM - 42911-52</v>
      </c>
      <c r="B111" s="12">
        <v>42911</v>
      </c>
      <c r="C111" s="13" t="s">
        <v>46</v>
      </c>
      <c r="D111" s="9">
        <v>52</v>
      </c>
      <c r="E111" s="11" t="s">
        <v>152</v>
      </c>
    </row>
    <row r="112" spans="1:5" x14ac:dyDescent="0.2">
      <c r="A112" s="9" t="str">
        <f t="shared" si="1"/>
        <v>INDEC-CM - 42911-51</v>
      </c>
      <c r="B112" s="12">
        <v>42911</v>
      </c>
      <c r="C112" s="13" t="s">
        <v>46</v>
      </c>
      <c r="D112" s="9">
        <v>51</v>
      </c>
      <c r="E112" s="11" t="s">
        <v>153</v>
      </c>
    </row>
    <row r="113" spans="1:7" x14ac:dyDescent="0.2">
      <c r="A113" s="9" t="str">
        <f t="shared" si="1"/>
        <v>INDEC-CM - 42911-43</v>
      </c>
      <c r="B113" s="12">
        <v>42911</v>
      </c>
      <c r="C113" s="13" t="s">
        <v>46</v>
      </c>
      <c r="D113" s="9">
        <v>43</v>
      </c>
      <c r="E113" s="11" t="s">
        <v>154</v>
      </c>
    </row>
    <row r="114" spans="1:7" x14ac:dyDescent="0.2">
      <c r="A114" s="9" t="str">
        <f t="shared" si="1"/>
        <v>INDEC-CM - 42911-42</v>
      </c>
      <c r="B114" s="12">
        <v>42911</v>
      </c>
      <c r="C114" s="13" t="s">
        <v>46</v>
      </c>
      <c r="D114" s="9">
        <v>42</v>
      </c>
      <c r="E114" s="11" t="s">
        <v>155</v>
      </c>
    </row>
    <row r="115" spans="1:7" x14ac:dyDescent="0.2">
      <c r="A115" s="9" t="str">
        <f t="shared" si="1"/>
        <v>INDEC-CM - 42911-41</v>
      </c>
      <c r="B115" s="12">
        <v>42911</v>
      </c>
      <c r="C115" s="13" t="s">
        <v>46</v>
      </c>
      <c r="D115" s="9">
        <v>41</v>
      </c>
      <c r="E115" s="11" t="s">
        <v>156</v>
      </c>
    </row>
    <row r="116" spans="1:7" x14ac:dyDescent="0.2">
      <c r="A116" s="9" t="str">
        <f t="shared" si="1"/>
        <v>INDEC-CM - 42911-56</v>
      </c>
      <c r="B116" s="12">
        <v>42911</v>
      </c>
      <c r="C116" s="13" t="s">
        <v>46</v>
      </c>
      <c r="D116" s="9">
        <v>56</v>
      </c>
      <c r="E116" s="11" t="s">
        <v>157</v>
      </c>
    </row>
    <row r="117" spans="1:7" x14ac:dyDescent="0.2">
      <c r="A117" s="9" t="str">
        <f t="shared" si="1"/>
        <v>INDEC-CM - 42911-55</v>
      </c>
      <c r="B117" s="12">
        <v>42911</v>
      </c>
      <c r="C117" s="13" t="s">
        <v>46</v>
      </c>
      <c r="D117" s="9">
        <v>55</v>
      </c>
      <c r="E117" s="11" t="s">
        <v>158</v>
      </c>
    </row>
    <row r="118" spans="1:7" x14ac:dyDescent="0.2">
      <c r="A118" s="9" t="str">
        <f t="shared" si="1"/>
        <v>INDEC-CM - 42911-54</v>
      </c>
      <c r="B118" s="12">
        <v>42911</v>
      </c>
      <c r="C118" s="13" t="s">
        <v>46</v>
      </c>
      <c r="D118" s="9">
        <v>54</v>
      </c>
      <c r="E118" s="11" t="s">
        <v>159</v>
      </c>
    </row>
    <row r="119" spans="1:7" x14ac:dyDescent="0.2">
      <c r="A119" s="9" t="str">
        <f t="shared" si="1"/>
        <v>INDEC-CM - 42911-32</v>
      </c>
      <c r="B119" s="12">
        <v>42911</v>
      </c>
      <c r="C119" s="13" t="s">
        <v>46</v>
      </c>
      <c r="D119" s="9">
        <v>32</v>
      </c>
      <c r="E119" s="11" t="s">
        <v>160</v>
      </c>
    </row>
    <row r="120" spans="1:7" x14ac:dyDescent="0.2">
      <c r="A120" s="9" t="str">
        <f t="shared" si="1"/>
        <v>INDEC-CM - 42911-31</v>
      </c>
      <c r="B120" s="12">
        <v>42911</v>
      </c>
      <c r="C120" s="13" t="s">
        <v>46</v>
      </c>
      <c r="D120" s="9">
        <v>31</v>
      </c>
      <c r="E120" s="11" t="s">
        <v>161</v>
      </c>
    </row>
    <row r="121" spans="1:7" x14ac:dyDescent="0.2">
      <c r="A121" s="9" t="str">
        <f t="shared" si="1"/>
        <v>INDEC-CM - 42911-59</v>
      </c>
      <c r="B121" s="12">
        <v>42911</v>
      </c>
      <c r="C121" s="13" t="s">
        <v>46</v>
      </c>
      <c r="D121" s="9">
        <v>59</v>
      </c>
      <c r="E121" s="11" t="s">
        <v>162</v>
      </c>
    </row>
    <row r="122" spans="1:7" x14ac:dyDescent="0.2">
      <c r="A122" s="9" t="str">
        <f t="shared" si="1"/>
        <v>INDEC-CM - 42911-58</v>
      </c>
      <c r="B122" s="12">
        <v>42911</v>
      </c>
      <c r="C122" s="13" t="s">
        <v>46</v>
      </c>
      <c r="D122" s="9">
        <v>58</v>
      </c>
      <c r="E122" s="14" t="s">
        <v>163</v>
      </c>
      <c r="F122" s="14"/>
      <c r="G122" s="14"/>
    </row>
    <row r="123" spans="1:7" x14ac:dyDescent="0.2">
      <c r="A123" s="9" t="str">
        <f t="shared" si="1"/>
        <v>INDEC-CM - 42911-57</v>
      </c>
      <c r="B123" s="12">
        <v>42911</v>
      </c>
      <c r="C123" s="13" t="s">
        <v>46</v>
      </c>
      <c r="D123" s="9">
        <v>57</v>
      </c>
      <c r="E123" s="14" t="s">
        <v>164</v>
      </c>
      <c r="F123" s="14"/>
      <c r="G123" s="14"/>
    </row>
    <row r="124" spans="1:7" x14ac:dyDescent="0.2">
      <c r="A124" s="9" t="str">
        <f t="shared" si="1"/>
        <v>INDEC-CM - 43923-21</v>
      </c>
      <c r="B124" s="12">
        <v>43923</v>
      </c>
      <c r="C124" s="13" t="s">
        <v>46</v>
      </c>
      <c r="D124" s="9">
        <v>21</v>
      </c>
      <c r="E124" s="14" t="s">
        <v>165</v>
      </c>
      <c r="F124" s="14"/>
      <c r="G124" s="14"/>
    </row>
    <row r="125" spans="1:7" x14ac:dyDescent="0.2">
      <c r="A125" s="9" t="str">
        <f t="shared" si="1"/>
        <v>INDEC-CM - 37510-11</v>
      </c>
      <c r="B125" s="12">
        <v>37510</v>
      </c>
      <c r="C125" s="13" t="s">
        <v>46</v>
      </c>
      <c r="D125" s="9">
        <v>11</v>
      </c>
      <c r="E125" s="11" t="s">
        <v>166</v>
      </c>
    </row>
    <row r="126" spans="1:7" x14ac:dyDescent="0.2">
      <c r="A126" s="9" t="str">
        <f t="shared" si="1"/>
        <v>INDEC-CM - 44821-31</v>
      </c>
      <c r="B126" s="12">
        <v>44821</v>
      </c>
      <c r="C126" s="13" t="s">
        <v>46</v>
      </c>
      <c r="D126" s="9">
        <v>31</v>
      </c>
      <c r="E126" s="11" t="s">
        <v>167</v>
      </c>
    </row>
    <row r="127" spans="1:7" x14ac:dyDescent="0.2">
      <c r="A127" s="9" t="str">
        <f t="shared" si="1"/>
        <v>INDEC-CM - 46531-12</v>
      </c>
      <c r="B127" s="12">
        <v>46531</v>
      </c>
      <c r="C127" s="13" t="s">
        <v>46</v>
      </c>
      <c r="D127" s="9">
        <v>12</v>
      </c>
      <c r="E127" s="14" t="s">
        <v>168</v>
      </c>
      <c r="F127" s="14"/>
      <c r="G127" s="14"/>
    </row>
    <row r="128" spans="1:7" x14ac:dyDescent="0.2">
      <c r="A128" s="9" t="str">
        <f t="shared" si="1"/>
        <v>INDEC-CM - 37210-13</v>
      </c>
      <c r="B128" s="12">
        <v>37210</v>
      </c>
      <c r="C128" s="13" t="s">
        <v>46</v>
      </c>
      <c r="D128" s="9">
        <v>13</v>
      </c>
      <c r="E128" s="11" t="s">
        <v>169</v>
      </c>
    </row>
    <row r="129" spans="1:7" x14ac:dyDescent="0.2">
      <c r="A129" s="9" t="str">
        <f t="shared" si="1"/>
        <v>INDEC-CM - 37210-12</v>
      </c>
      <c r="B129" s="12">
        <v>37210</v>
      </c>
      <c r="C129" s="13" t="s">
        <v>46</v>
      </c>
      <c r="D129" s="9">
        <v>12</v>
      </c>
      <c r="E129" s="11" t="s">
        <v>170</v>
      </c>
    </row>
    <row r="130" spans="1:7" x14ac:dyDescent="0.2">
      <c r="A130" s="9" t="str">
        <f t="shared" si="1"/>
        <v>INDEC-CM - 37210-11</v>
      </c>
      <c r="B130" s="12">
        <v>37210</v>
      </c>
      <c r="C130" s="13" t="s">
        <v>46</v>
      </c>
      <c r="D130" s="9">
        <v>11</v>
      </c>
      <c r="E130" s="14" t="s">
        <v>171</v>
      </c>
      <c r="F130" s="14"/>
      <c r="G130" s="14"/>
    </row>
    <row r="131" spans="1:7" x14ac:dyDescent="0.2">
      <c r="A131" s="9" t="str">
        <f t="shared" si="1"/>
        <v>INDEC-CM - 46212-11</v>
      </c>
      <c r="B131" s="12">
        <v>46212</v>
      </c>
      <c r="C131" s="13" t="s">
        <v>46</v>
      </c>
      <c r="D131" s="9">
        <v>11</v>
      </c>
      <c r="E131" s="11" t="s">
        <v>172</v>
      </c>
    </row>
    <row r="132" spans="1:7" x14ac:dyDescent="0.2">
      <c r="A132" s="9" t="str">
        <f t="shared" si="1"/>
        <v>INDEC-CM - 46212-51</v>
      </c>
      <c r="B132" s="12">
        <v>46212</v>
      </c>
      <c r="C132" s="13" t="s">
        <v>46</v>
      </c>
      <c r="D132" s="9">
        <v>51</v>
      </c>
      <c r="E132" s="11" t="s">
        <v>173</v>
      </c>
    </row>
    <row r="133" spans="1:7" x14ac:dyDescent="0.2">
      <c r="A133" s="9" t="str">
        <f t="shared" si="1"/>
        <v>INDEC-CM - 46212-31</v>
      </c>
      <c r="B133" s="12">
        <v>46212</v>
      </c>
      <c r="C133" s="13" t="s">
        <v>46</v>
      </c>
      <c r="D133" s="9">
        <v>31</v>
      </c>
      <c r="E133" s="11" t="s">
        <v>174</v>
      </c>
    </row>
    <row r="134" spans="1:7" x14ac:dyDescent="0.2">
      <c r="A134" s="9" t="str">
        <f t="shared" ref="A134:A197" si="2">CONCATENATE("INDEC-CM - ",B134,C134,D134)</f>
        <v>INDEC-CM - 46212-41</v>
      </c>
      <c r="B134" s="12">
        <v>46212</v>
      </c>
      <c r="C134" s="13" t="s">
        <v>46</v>
      </c>
      <c r="D134" s="9">
        <v>41</v>
      </c>
      <c r="E134" s="11" t="s">
        <v>175</v>
      </c>
    </row>
    <row r="135" spans="1:7" x14ac:dyDescent="0.2">
      <c r="A135" s="9" t="str">
        <f t="shared" si="2"/>
        <v>INDEC-CM - 42999-51</v>
      </c>
      <c r="B135" s="12">
        <v>42999</v>
      </c>
      <c r="C135" s="13" t="s">
        <v>46</v>
      </c>
      <c r="D135" s="9">
        <v>51</v>
      </c>
      <c r="E135" s="11" t="s">
        <v>176</v>
      </c>
    </row>
    <row r="136" spans="1:7" x14ac:dyDescent="0.2">
      <c r="A136" s="9" t="str">
        <f t="shared" si="2"/>
        <v>INDEC-CM - 35110-51</v>
      </c>
      <c r="B136" s="12">
        <v>35110</v>
      </c>
      <c r="C136" s="13" t="s">
        <v>46</v>
      </c>
      <c r="D136" s="9">
        <v>51</v>
      </c>
      <c r="E136" s="11" t="s">
        <v>177</v>
      </c>
    </row>
    <row r="137" spans="1:7" x14ac:dyDescent="0.2">
      <c r="A137" s="9" t="str">
        <f t="shared" si="2"/>
        <v>INDEC-CM - 37350-11</v>
      </c>
      <c r="B137" s="12">
        <v>37350</v>
      </c>
      <c r="C137" s="13" t="s">
        <v>46</v>
      </c>
      <c r="D137" s="9">
        <v>11</v>
      </c>
      <c r="E137" s="11" t="s">
        <v>178</v>
      </c>
    </row>
    <row r="138" spans="1:7" x14ac:dyDescent="0.2">
      <c r="A138" s="9" t="str">
        <f t="shared" si="2"/>
        <v>INDEC-CM - 37350-41</v>
      </c>
      <c r="B138" s="12">
        <v>37350</v>
      </c>
      <c r="C138" s="13" t="s">
        <v>46</v>
      </c>
      <c r="D138" s="9">
        <v>41</v>
      </c>
      <c r="E138" s="11" t="s">
        <v>179</v>
      </c>
    </row>
    <row r="139" spans="1:7" x14ac:dyDescent="0.2">
      <c r="A139" s="9" t="str">
        <f t="shared" si="2"/>
        <v>INDEC-CM - 37350-21</v>
      </c>
      <c r="B139" s="12">
        <v>37350</v>
      </c>
      <c r="C139" s="13" t="s">
        <v>46</v>
      </c>
      <c r="D139" s="9">
        <v>21</v>
      </c>
      <c r="E139" s="11" t="s">
        <v>180</v>
      </c>
    </row>
    <row r="140" spans="1:7" x14ac:dyDescent="0.2">
      <c r="A140" s="9" t="str">
        <f t="shared" si="2"/>
        <v>INDEC-CM - 37350-31</v>
      </c>
      <c r="B140" s="12">
        <v>37350</v>
      </c>
      <c r="C140" s="13" t="s">
        <v>46</v>
      </c>
      <c r="D140" s="9">
        <v>31</v>
      </c>
      <c r="E140" s="11" t="s">
        <v>181</v>
      </c>
    </row>
    <row r="141" spans="1:7" x14ac:dyDescent="0.2">
      <c r="A141" s="9" t="str">
        <f t="shared" si="2"/>
        <v>INDEC-CM - 37210-32</v>
      </c>
      <c r="B141" s="12">
        <v>37210</v>
      </c>
      <c r="C141" s="13" t="s">
        <v>46</v>
      </c>
      <c r="D141" s="9">
        <v>32</v>
      </c>
      <c r="E141" s="11" t="s">
        <v>182</v>
      </c>
    </row>
    <row r="142" spans="1:7" x14ac:dyDescent="0.2">
      <c r="A142" s="9" t="str">
        <f t="shared" si="2"/>
        <v>INDEC-CM - 37210-31</v>
      </c>
      <c r="B142" s="12">
        <v>37210</v>
      </c>
      <c r="C142" s="13" t="s">
        <v>46</v>
      </c>
      <c r="D142" s="9">
        <v>31</v>
      </c>
      <c r="E142" s="11" t="s">
        <v>183</v>
      </c>
    </row>
    <row r="143" spans="1:7" x14ac:dyDescent="0.2">
      <c r="A143" s="9" t="str">
        <f t="shared" si="2"/>
        <v>INDEC-CM - 37210-33</v>
      </c>
      <c r="B143" s="12">
        <v>37210</v>
      </c>
      <c r="C143" s="13" t="s">
        <v>46</v>
      </c>
      <c r="D143" s="9">
        <v>33</v>
      </c>
      <c r="E143" s="11" t="s">
        <v>184</v>
      </c>
    </row>
    <row r="144" spans="1:7" x14ac:dyDescent="0.2">
      <c r="A144" s="9" t="str">
        <f t="shared" si="2"/>
        <v>INDEC-CM - 31210-41</v>
      </c>
      <c r="B144" s="12">
        <v>31210</v>
      </c>
      <c r="C144" s="13" t="s">
        <v>46</v>
      </c>
      <c r="D144" s="9">
        <v>41</v>
      </c>
      <c r="E144" s="11" t="s">
        <v>185</v>
      </c>
    </row>
    <row r="145" spans="1:7" x14ac:dyDescent="0.2">
      <c r="A145" s="9" t="str">
        <f t="shared" si="2"/>
        <v>INDEC-CM - 43240-21</v>
      </c>
      <c r="B145" s="12">
        <v>43240</v>
      </c>
      <c r="C145" s="13" t="s">
        <v>46</v>
      </c>
      <c r="D145" s="9">
        <v>21</v>
      </c>
      <c r="E145" s="11" t="s">
        <v>186</v>
      </c>
    </row>
    <row r="146" spans="1:7" x14ac:dyDescent="0.2">
      <c r="A146" s="9" t="str">
        <f t="shared" si="2"/>
        <v>INDEC-CM - 43240-32</v>
      </c>
      <c r="B146" s="12">
        <v>43240</v>
      </c>
      <c r="C146" s="13" t="s">
        <v>46</v>
      </c>
      <c r="D146" s="9">
        <v>32</v>
      </c>
      <c r="E146" s="11" t="s">
        <v>187</v>
      </c>
    </row>
    <row r="147" spans="1:7" x14ac:dyDescent="0.2">
      <c r="A147" s="9" t="str">
        <f t="shared" si="2"/>
        <v>INDEC-CM - 43240-31</v>
      </c>
      <c r="B147" s="12">
        <v>43240</v>
      </c>
      <c r="C147" s="13" t="s">
        <v>46</v>
      </c>
      <c r="D147" s="9">
        <v>31</v>
      </c>
      <c r="E147" s="11" t="s">
        <v>188</v>
      </c>
    </row>
    <row r="148" spans="1:7" x14ac:dyDescent="0.2">
      <c r="A148" s="9" t="str">
        <f t="shared" si="2"/>
        <v>INDEC-CM - 43240-41</v>
      </c>
      <c r="B148" s="12">
        <v>43240</v>
      </c>
      <c r="C148" s="13" t="s">
        <v>46</v>
      </c>
      <c r="D148" s="9">
        <v>41</v>
      </c>
      <c r="E148" s="11" t="s">
        <v>189</v>
      </c>
    </row>
    <row r="149" spans="1:7" x14ac:dyDescent="0.2">
      <c r="A149" s="9" t="str">
        <f t="shared" si="2"/>
        <v>INDEC-CM - 37540-32</v>
      </c>
      <c r="B149" s="12">
        <v>37540</v>
      </c>
      <c r="C149" s="13" t="s">
        <v>46</v>
      </c>
      <c r="D149" s="9">
        <v>32</v>
      </c>
      <c r="E149" s="14" t="s">
        <v>190</v>
      </c>
      <c r="F149" s="14"/>
      <c r="G149" s="14"/>
    </row>
    <row r="150" spans="1:7" x14ac:dyDescent="0.2">
      <c r="A150" s="9" t="str">
        <f t="shared" si="2"/>
        <v>INDEC-CM - 37540-31</v>
      </c>
      <c r="B150" s="12">
        <v>37540</v>
      </c>
      <c r="C150" s="13" t="s">
        <v>46</v>
      </c>
      <c r="D150" s="9">
        <v>31</v>
      </c>
      <c r="E150" s="11" t="s">
        <v>191</v>
      </c>
    </row>
    <row r="151" spans="1:7" x14ac:dyDescent="0.2">
      <c r="A151" s="9" t="str">
        <f t="shared" si="2"/>
        <v>INDEC-CM - 31210-21</v>
      </c>
      <c r="B151" s="12">
        <v>31210</v>
      </c>
      <c r="C151" s="13" t="s">
        <v>46</v>
      </c>
      <c r="D151" s="9">
        <v>21</v>
      </c>
      <c r="E151" s="14" t="s">
        <v>192</v>
      </c>
      <c r="F151" s="14"/>
      <c r="G151" s="14"/>
    </row>
    <row r="152" spans="1:7" x14ac:dyDescent="0.2">
      <c r="A152" s="9" t="str">
        <f t="shared" si="2"/>
        <v>INDEC-CM - 42911-61</v>
      </c>
      <c r="B152" s="12">
        <v>42911</v>
      </c>
      <c r="C152" s="13" t="s">
        <v>46</v>
      </c>
      <c r="D152" s="9">
        <v>61</v>
      </c>
      <c r="E152" s="14" t="s">
        <v>193</v>
      </c>
      <c r="F152" s="14"/>
      <c r="G152" s="14"/>
    </row>
    <row r="153" spans="1:7" x14ac:dyDescent="0.2">
      <c r="A153" s="9" t="str">
        <f t="shared" si="2"/>
        <v>INDEC-CM - 43923-11</v>
      </c>
      <c r="B153" s="12">
        <v>43923</v>
      </c>
      <c r="C153" s="13" t="s">
        <v>46</v>
      </c>
      <c r="D153" s="9">
        <v>11</v>
      </c>
      <c r="E153" s="14" t="s">
        <v>194</v>
      </c>
      <c r="F153" s="14"/>
      <c r="G153" s="14"/>
    </row>
    <row r="154" spans="1:7" x14ac:dyDescent="0.2">
      <c r="A154" s="9" t="str">
        <f t="shared" si="2"/>
        <v>INDEC-CM - 37930-12</v>
      </c>
      <c r="B154" s="12">
        <v>37930</v>
      </c>
      <c r="C154" s="13" t="s">
        <v>46</v>
      </c>
      <c r="D154" s="9">
        <v>12</v>
      </c>
      <c r="E154" s="11" t="s">
        <v>195</v>
      </c>
    </row>
    <row r="155" spans="1:7" x14ac:dyDescent="0.2">
      <c r="A155" s="9" t="str">
        <f t="shared" si="2"/>
        <v>INDEC-CM - 37930-11</v>
      </c>
      <c r="B155" s="12">
        <v>37930</v>
      </c>
      <c r="C155" s="13" t="s">
        <v>46</v>
      </c>
      <c r="D155" s="9">
        <v>11</v>
      </c>
      <c r="E155" s="11" t="s">
        <v>196</v>
      </c>
    </row>
    <row r="156" spans="1:7" x14ac:dyDescent="0.2">
      <c r="A156" s="9" t="str">
        <f t="shared" si="2"/>
        <v>INDEC-CM - 42999-61</v>
      </c>
      <c r="B156" s="12">
        <v>42999</v>
      </c>
      <c r="C156" s="13" t="s">
        <v>46</v>
      </c>
      <c r="D156" s="9">
        <v>61</v>
      </c>
      <c r="E156" s="14" t="s">
        <v>197</v>
      </c>
      <c r="F156" s="14"/>
      <c r="G156" s="14"/>
    </row>
    <row r="157" spans="1:7" x14ac:dyDescent="0.2">
      <c r="A157" s="9" t="str">
        <f t="shared" si="2"/>
        <v>INDEC-CM - 42999-62</v>
      </c>
      <c r="B157" s="12">
        <v>42999</v>
      </c>
      <c r="C157" s="13" t="s">
        <v>46</v>
      </c>
      <c r="D157" s="9">
        <v>62</v>
      </c>
      <c r="E157" s="14" t="s">
        <v>198</v>
      </c>
      <c r="F157" s="14"/>
      <c r="G157" s="14"/>
    </row>
    <row r="158" spans="1:7" x14ac:dyDescent="0.2">
      <c r="A158" s="9" t="str">
        <f t="shared" si="2"/>
        <v>INDEC-CM - 37610-11</v>
      </c>
      <c r="B158" s="12">
        <v>37610</v>
      </c>
      <c r="C158" s="13" t="s">
        <v>46</v>
      </c>
      <c r="D158" s="9">
        <v>11</v>
      </c>
      <c r="E158" s="14" t="s">
        <v>199</v>
      </c>
      <c r="F158" s="14"/>
      <c r="G158" s="14"/>
    </row>
    <row r="159" spans="1:7" x14ac:dyDescent="0.2">
      <c r="A159" s="9" t="str">
        <f t="shared" si="2"/>
        <v>INDEC-CM - 37610-12</v>
      </c>
      <c r="B159" s="12">
        <v>37610</v>
      </c>
      <c r="C159" s="13" t="s">
        <v>46</v>
      </c>
      <c r="D159" s="9">
        <v>12</v>
      </c>
      <c r="E159" s="14" t="s">
        <v>200</v>
      </c>
      <c r="F159" s="14"/>
      <c r="G159" s="14"/>
    </row>
    <row r="160" spans="1:7" x14ac:dyDescent="0.2">
      <c r="A160" s="9" t="str">
        <f t="shared" si="2"/>
        <v>INDEC-CM - 42943-11</v>
      </c>
      <c r="B160" s="12">
        <v>42943</v>
      </c>
      <c r="C160" s="13" t="s">
        <v>46</v>
      </c>
      <c r="D160" s="9">
        <v>11</v>
      </c>
      <c r="E160" s="14" t="s">
        <v>201</v>
      </c>
      <c r="F160" s="14"/>
      <c r="G160" s="14"/>
    </row>
    <row r="161" spans="1:7" x14ac:dyDescent="0.2">
      <c r="A161" s="9" t="str">
        <f t="shared" si="2"/>
        <v>INDEC-CM - 37540-11</v>
      </c>
      <c r="B161" s="12">
        <v>37540</v>
      </c>
      <c r="C161" s="13" t="s">
        <v>46</v>
      </c>
      <c r="D161" s="9">
        <v>11</v>
      </c>
      <c r="E161" s="11" t="s">
        <v>202</v>
      </c>
    </row>
    <row r="162" spans="1:7" x14ac:dyDescent="0.2">
      <c r="A162" s="9" t="str">
        <f t="shared" si="2"/>
        <v>INDEC-CM - 38130-16</v>
      </c>
      <c r="B162" s="12">
        <v>38130</v>
      </c>
      <c r="C162" s="13" t="s">
        <v>46</v>
      </c>
      <c r="D162" s="9">
        <v>16</v>
      </c>
      <c r="E162" s="14" t="s">
        <v>203</v>
      </c>
      <c r="F162" s="14"/>
      <c r="G162" s="14"/>
    </row>
    <row r="163" spans="1:7" x14ac:dyDescent="0.2">
      <c r="A163" s="9" t="str">
        <f t="shared" si="2"/>
        <v>INDEC-CM - 38130-15</v>
      </c>
      <c r="B163" s="12">
        <v>38130</v>
      </c>
      <c r="C163" s="13" t="s">
        <v>46</v>
      </c>
      <c r="D163" s="9">
        <v>15</v>
      </c>
      <c r="E163" s="14" t="s">
        <v>204</v>
      </c>
      <c r="F163" s="14"/>
      <c r="G163" s="14"/>
    </row>
    <row r="164" spans="1:7" x14ac:dyDescent="0.2">
      <c r="A164" s="9" t="str">
        <f t="shared" si="2"/>
        <v>INDEC-CM - 38130-14</v>
      </c>
      <c r="B164" s="12">
        <v>38130</v>
      </c>
      <c r="C164" s="13" t="s">
        <v>46</v>
      </c>
      <c r="D164" s="9">
        <v>14</v>
      </c>
      <c r="E164" s="14" t="s">
        <v>205</v>
      </c>
      <c r="F164" s="14"/>
      <c r="G164" s="14"/>
    </row>
    <row r="165" spans="1:7" x14ac:dyDescent="0.2">
      <c r="A165" s="9" t="str">
        <f t="shared" si="2"/>
        <v>INDEC-CM - 35490-11</v>
      </c>
      <c r="B165" s="12">
        <v>35490</v>
      </c>
      <c r="C165" s="13" t="s">
        <v>46</v>
      </c>
      <c r="D165" s="9">
        <v>11</v>
      </c>
      <c r="E165" s="11" t="s">
        <v>206</v>
      </c>
    </row>
    <row r="166" spans="1:7" x14ac:dyDescent="0.2">
      <c r="A166" s="9" t="str">
        <f t="shared" si="2"/>
        <v>INDEC-CM - 41251-11</v>
      </c>
      <c r="B166" s="12">
        <v>41251</v>
      </c>
      <c r="C166" s="13" t="s">
        <v>46</v>
      </c>
      <c r="D166" s="9">
        <v>11</v>
      </c>
      <c r="E166" s="14" t="s">
        <v>207</v>
      </c>
      <c r="F166" s="14"/>
      <c r="G166" s="14"/>
    </row>
    <row r="167" spans="1:7" x14ac:dyDescent="0.2">
      <c r="A167" s="9" t="str">
        <f t="shared" si="2"/>
        <v>INDEC-CM - 41278-21</v>
      </c>
      <c r="B167" s="12">
        <v>41278</v>
      </c>
      <c r="C167" s="13" t="s">
        <v>46</v>
      </c>
      <c r="D167" s="9">
        <v>21</v>
      </c>
      <c r="E167" s="14" t="s">
        <v>208</v>
      </c>
      <c r="F167" s="14"/>
      <c r="G167" s="14"/>
    </row>
    <row r="168" spans="1:7" x14ac:dyDescent="0.2">
      <c r="A168" s="9" t="str">
        <f t="shared" si="2"/>
        <v>INDEC-CM - 42911-71</v>
      </c>
      <c r="B168" s="12">
        <v>42911</v>
      </c>
      <c r="C168" s="13" t="s">
        <v>46</v>
      </c>
      <c r="D168" s="9">
        <v>71</v>
      </c>
      <c r="E168" s="14" t="s">
        <v>209</v>
      </c>
      <c r="F168" s="14"/>
      <c r="G168" s="14"/>
    </row>
    <row r="169" spans="1:7" x14ac:dyDescent="0.2">
      <c r="A169" s="9" t="str">
        <f t="shared" si="2"/>
        <v>INDEC-CM - 37210-42</v>
      </c>
      <c r="B169" s="12">
        <v>37210</v>
      </c>
      <c r="C169" s="13" t="s">
        <v>46</v>
      </c>
      <c r="D169" s="9">
        <v>42</v>
      </c>
      <c r="E169" s="14" t="s">
        <v>210</v>
      </c>
      <c r="F169" s="14"/>
      <c r="G169" s="14"/>
    </row>
    <row r="170" spans="1:7" x14ac:dyDescent="0.2">
      <c r="A170" s="9" t="str">
        <f t="shared" si="2"/>
        <v>INDEC-CM - 37210-41</v>
      </c>
      <c r="B170" s="12">
        <v>37210</v>
      </c>
      <c r="C170" s="13" t="s">
        <v>46</v>
      </c>
      <c r="D170" s="9">
        <v>41</v>
      </c>
      <c r="E170" s="14" t="s">
        <v>211</v>
      </c>
      <c r="F170" s="14"/>
      <c r="G170" s="14"/>
    </row>
    <row r="171" spans="1:7" x14ac:dyDescent="0.2">
      <c r="A171" s="9" t="str">
        <f t="shared" si="2"/>
        <v>INDEC-CM - 36930-11</v>
      </c>
      <c r="B171" s="12">
        <v>36930</v>
      </c>
      <c r="C171" s="13" t="s">
        <v>46</v>
      </c>
      <c r="D171" s="9">
        <v>11</v>
      </c>
      <c r="E171" s="11" t="s">
        <v>212</v>
      </c>
    </row>
    <row r="172" spans="1:7" x14ac:dyDescent="0.2">
      <c r="A172" s="9" t="str">
        <f t="shared" si="2"/>
        <v>INDEC-CM - 36950-21</v>
      </c>
      <c r="B172" s="12">
        <v>36950</v>
      </c>
      <c r="C172" s="13" t="s">
        <v>46</v>
      </c>
      <c r="D172" s="9">
        <v>21</v>
      </c>
      <c r="E172" s="11" t="s">
        <v>213</v>
      </c>
    </row>
    <row r="173" spans="1:7" x14ac:dyDescent="0.2">
      <c r="A173" s="9" t="str">
        <f t="shared" si="2"/>
        <v>INDEC-CM - 35110-31</v>
      </c>
      <c r="B173" s="12">
        <v>35110</v>
      </c>
      <c r="C173" s="13" t="s">
        <v>46</v>
      </c>
      <c r="D173" s="9">
        <v>31</v>
      </c>
      <c r="E173" s="11" t="s">
        <v>214</v>
      </c>
    </row>
    <row r="174" spans="1:7" x14ac:dyDescent="0.2">
      <c r="A174" s="9" t="str">
        <f t="shared" si="2"/>
        <v>INDEC-CM - 35110-32</v>
      </c>
      <c r="B174" s="12">
        <v>35110</v>
      </c>
      <c r="C174" s="13" t="s">
        <v>46</v>
      </c>
      <c r="D174" s="9">
        <v>32</v>
      </c>
      <c r="E174" s="11" t="s">
        <v>215</v>
      </c>
    </row>
    <row r="175" spans="1:7" x14ac:dyDescent="0.2">
      <c r="A175" s="9" t="str">
        <f t="shared" si="2"/>
        <v>INDEC-CM - 37940-11</v>
      </c>
      <c r="B175" s="12">
        <v>37940</v>
      </c>
      <c r="C175" s="13" t="s">
        <v>46</v>
      </c>
      <c r="D175" s="9">
        <v>11</v>
      </c>
      <c r="E175" s="11" t="s">
        <v>216</v>
      </c>
    </row>
    <row r="176" spans="1:7" x14ac:dyDescent="0.2">
      <c r="A176" s="9" t="str">
        <f t="shared" si="2"/>
        <v>INDEC-CM - 35110-71</v>
      </c>
      <c r="B176" s="12">
        <v>35110</v>
      </c>
      <c r="C176" s="13" t="s">
        <v>46</v>
      </c>
      <c r="D176" s="9">
        <v>71</v>
      </c>
      <c r="E176" s="11" t="s">
        <v>217</v>
      </c>
    </row>
    <row r="177" spans="1:7" x14ac:dyDescent="0.2">
      <c r="A177" s="9" t="str">
        <f t="shared" si="2"/>
        <v>INDEC-CM - 31210-31</v>
      </c>
      <c r="B177" s="12">
        <v>31210</v>
      </c>
      <c r="C177" s="13" t="s">
        <v>46</v>
      </c>
      <c r="D177" s="9">
        <v>31</v>
      </c>
      <c r="E177" s="11" t="s">
        <v>218</v>
      </c>
    </row>
    <row r="178" spans="1:7" x14ac:dyDescent="0.2">
      <c r="A178" s="9" t="str">
        <f t="shared" si="2"/>
        <v>INDEC-CM - 31210-32</v>
      </c>
      <c r="B178" s="12">
        <v>31210</v>
      </c>
      <c r="C178" s="13" t="s">
        <v>46</v>
      </c>
      <c r="D178" s="9">
        <v>32</v>
      </c>
      <c r="E178" s="11" t="s">
        <v>219</v>
      </c>
    </row>
    <row r="179" spans="1:7" x14ac:dyDescent="0.2">
      <c r="A179" s="9" t="str">
        <f t="shared" si="2"/>
        <v>INDEC-CM - 41541-11</v>
      </c>
      <c r="B179" s="12">
        <v>41541</v>
      </c>
      <c r="C179" s="13" t="s">
        <v>46</v>
      </c>
      <c r="D179" s="9">
        <v>11</v>
      </c>
      <c r="E179" s="11" t="s">
        <v>220</v>
      </c>
    </row>
    <row r="180" spans="1:7" x14ac:dyDescent="0.2">
      <c r="A180" s="9" t="str">
        <f t="shared" si="2"/>
        <v>INDEC-CM - 34720-11</v>
      </c>
      <c r="B180" s="12">
        <v>34720</v>
      </c>
      <c r="C180" s="13" t="s">
        <v>46</v>
      </c>
      <c r="D180" s="9">
        <v>11</v>
      </c>
      <c r="E180" s="14" t="s">
        <v>221</v>
      </c>
      <c r="F180" s="14"/>
      <c r="G180" s="14"/>
    </row>
    <row r="181" spans="1:7" x14ac:dyDescent="0.2">
      <c r="A181" s="9" t="str">
        <f t="shared" si="2"/>
        <v>INDEC-CM - 47220-11</v>
      </c>
      <c r="B181" s="12">
        <v>47220</v>
      </c>
      <c r="C181" s="13" t="s">
        <v>46</v>
      </c>
      <c r="D181" s="9">
        <v>11</v>
      </c>
      <c r="E181" s="14" t="s">
        <v>222</v>
      </c>
      <c r="F181" s="14"/>
      <c r="G181" s="14"/>
    </row>
    <row r="182" spans="1:7" x14ac:dyDescent="0.2">
      <c r="A182" s="9" t="str">
        <f t="shared" si="2"/>
        <v>INDEC-CM - 31600-81</v>
      </c>
      <c r="B182" s="12">
        <v>31600</v>
      </c>
      <c r="C182" s="13" t="s">
        <v>46</v>
      </c>
      <c r="D182" s="9">
        <v>81</v>
      </c>
      <c r="E182" s="11" t="s">
        <v>223</v>
      </c>
    </row>
    <row r="183" spans="1:7" x14ac:dyDescent="0.2">
      <c r="A183" s="9" t="str">
        <f t="shared" si="2"/>
        <v>INDEC-CM - 42120-31</v>
      </c>
      <c r="B183" s="12">
        <v>42120</v>
      </c>
      <c r="C183" s="13" t="s">
        <v>46</v>
      </c>
      <c r="D183" s="9">
        <v>31</v>
      </c>
      <c r="E183" s="11" t="s">
        <v>224</v>
      </c>
    </row>
    <row r="184" spans="1:7" x14ac:dyDescent="0.2">
      <c r="A184" s="9" t="str">
        <f t="shared" si="2"/>
        <v>INDEC-CM - 35490-21</v>
      </c>
      <c r="B184" s="12">
        <v>35490</v>
      </c>
      <c r="C184" s="13" t="s">
        <v>46</v>
      </c>
      <c r="D184" s="9">
        <v>21</v>
      </c>
      <c r="E184" s="14" t="s">
        <v>225</v>
      </c>
      <c r="F184" s="14"/>
      <c r="G184" s="14"/>
    </row>
    <row r="185" spans="1:7" x14ac:dyDescent="0.2">
      <c r="A185" s="9" t="str">
        <f t="shared" si="2"/>
        <v>INDEC-CM - 31600-41</v>
      </c>
      <c r="B185" s="12">
        <v>31600</v>
      </c>
      <c r="C185" s="13" t="s">
        <v>46</v>
      </c>
      <c r="D185" s="9">
        <v>41</v>
      </c>
      <c r="E185" s="14" t="s">
        <v>226</v>
      </c>
      <c r="F185" s="14"/>
      <c r="G185" s="14"/>
    </row>
    <row r="186" spans="1:7" x14ac:dyDescent="0.2">
      <c r="A186" s="9" t="str">
        <f t="shared" si="2"/>
        <v>INDEC-CM - 42120-21</v>
      </c>
      <c r="B186" s="12">
        <v>42120</v>
      </c>
      <c r="C186" s="13" t="s">
        <v>46</v>
      </c>
      <c r="D186" s="9">
        <v>21</v>
      </c>
      <c r="E186" s="14" t="s">
        <v>227</v>
      </c>
      <c r="F186" s="14"/>
      <c r="G186" s="14"/>
    </row>
    <row r="187" spans="1:7" x14ac:dyDescent="0.2">
      <c r="A187" s="9" t="str">
        <f t="shared" si="2"/>
        <v>INDEC-CM - 42120-22</v>
      </c>
      <c r="B187" s="12">
        <v>42120</v>
      </c>
      <c r="C187" s="13" t="s">
        <v>46</v>
      </c>
      <c r="D187" s="9">
        <v>22</v>
      </c>
      <c r="E187" s="14" t="s">
        <v>228</v>
      </c>
      <c r="F187" s="14"/>
      <c r="G187" s="14"/>
    </row>
    <row r="188" spans="1:7" x14ac:dyDescent="0.2">
      <c r="A188" s="9" t="str">
        <f t="shared" si="2"/>
        <v>INDEC-CM - 31600-33</v>
      </c>
      <c r="B188" s="12">
        <v>31600</v>
      </c>
      <c r="C188" s="13" t="s">
        <v>46</v>
      </c>
      <c r="D188" s="9">
        <v>33</v>
      </c>
      <c r="E188" s="11" t="s">
        <v>229</v>
      </c>
    </row>
    <row r="189" spans="1:7" x14ac:dyDescent="0.2">
      <c r="A189" s="9" t="str">
        <f t="shared" si="2"/>
        <v>INDEC-CM - 31600-32</v>
      </c>
      <c r="B189" s="12">
        <v>31600</v>
      </c>
      <c r="C189" s="13" t="s">
        <v>46</v>
      </c>
      <c r="D189" s="9">
        <v>32</v>
      </c>
      <c r="E189" s="11" t="s">
        <v>230</v>
      </c>
    </row>
    <row r="190" spans="1:7" x14ac:dyDescent="0.2">
      <c r="A190" s="9" t="str">
        <f t="shared" si="2"/>
        <v>INDEC-CM - 31600-31</v>
      </c>
      <c r="B190" s="12">
        <v>31600</v>
      </c>
      <c r="C190" s="13" t="s">
        <v>46</v>
      </c>
      <c r="D190" s="9">
        <v>31</v>
      </c>
      <c r="E190" s="11" t="s">
        <v>231</v>
      </c>
    </row>
    <row r="191" spans="1:7" x14ac:dyDescent="0.2">
      <c r="A191" s="9" t="str">
        <f t="shared" si="2"/>
        <v>INDEC-CM - 42120-11</v>
      </c>
      <c r="B191" s="12">
        <v>42120</v>
      </c>
      <c r="C191" s="13" t="s">
        <v>46</v>
      </c>
      <c r="D191" s="9">
        <v>11</v>
      </c>
      <c r="E191" s="11" t="s">
        <v>232</v>
      </c>
    </row>
    <row r="192" spans="1:7" x14ac:dyDescent="0.2">
      <c r="A192" s="9" t="str">
        <f t="shared" si="2"/>
        <v>INDEC-CM - 31600-23</v>
      </c>
      <c r="B192" s="12">
        <v>31600</v>
      </c>
      <c r="C192" s="13" t="s">
        <v>46</v>
      </c>
      <c r="D192" s="9">
        <v>23</v>
      </c>
      <c r="E192" s="11" t="s">
        <v>233</v>
      </c>
    </row>
    <row r="193" spans="1:7" x14ac:dyDescent="0.2">
      <c r="A193" s="9" t="str">
        <f t="shared" si="2"/>
        <v>INDEC-CM - 31600-22</v>
      </c>
      <c r="B193" s="12">
        <v>31600</v>
      </c>
      <c r="C193" s="13" t="s">
        <v>46</v>
      </c>
      <c r="D193" s="9">
        <v>22</v>
      </c>
      <c r="E193" s="11" t="s">
        <v>234</v>
      </c>
    </row>
    <row r="194" spans="1:7" x14ac:dyDescent="0.2">
      <c r="A194" s="9" t="str">
        <f t="shared" si="2"/>
        <v>INDEC-CM - 31600-21</v>
      </c>
      <c r="B194" s="12">
        <v>31600</v>
      </c>
      <c r="C194" s="13" t="s">
        <v>46</v>
      </c>
      <c r="D194" s="9">
        <v>21</v>
      </c>
      <c r="E194" s="11" t="s">
        <v>235</v>
      </c>
    </row>
    <row r="195" spans="1:7" x14ac:dyDescent="0.2">
      <c r="A195" s="9" t="str">
        <f t="shared" si="2"/>
        <v>INDEC-CM - 41278-33</v>
      </c>
      <c r="B195" s="12">
        <v>41278</v>
      </c>
      <c r="C195" s="13" t="s">
        <v>46</v>
      </c>
      <c r="D195" s="9">
        <v>33</v>
      </c>
      <c r="E195" s="14" t="s">
        <v>236</v>
      </c>
      <c r="F195" s="14"/>
      <c r="G195" s="14"/>
    </row>
    <row r="196" spans="1:7" x14ac:dyDescent="0.2">
      <c r="A196" s="9" t="str">
        <f t="shared" si="2"/>
        <v>INDEC-CM - 36320-33</v>
      </c>
      <c r="B196" s="12">
        <v>36320</v>
      </c>
      <c r="C196" s="13" t="s">
        <v>46</v>
      </c>
      <c r="D196" s="9">
        <v>33</v>
      </c>
      <c r="E196" s="11" t="s">
        <v>237</v>
      </c>
    </row>
    <row r="197" spans="1:7" x14ac:dyDescent="0.2">
      <c r="A197" s="9" t="str">
        <f t="shared" si="2"/>
        <v>INDEC-CM - 48270-11</v>
      </c>
      <c r="B197" s="12">
        <v>48270</v>
      </c>
      <c r="C197" s="13" t="s">
        <v>46</v>
      </c>
      <c r="D197" s="9">
        <v>11</v>
      </c>
      <c r="E197" s="14" t="s">
        <v>238</v>
      </c>
      <c r="F197" s="14"/>
      <c r="G197" s="14"/>
    </row>
    <row r="198" spans="1:7" x14ac:dyDescent="0.2">
      <c r="A198" s="9" t="str">
        <f t="shared" ref="A198:A220" si="3">CONCATENATE("INDEC-CM - ",B198,C198,D198)</f>
        <v>INDEC-CM - 42190-11</v>
      </c>
      <c r="B198" s="12">
        <v>42190</v>
      </c>
      <c r="C198" s="13" t="s">
        <v>46</v>
      </c>
      <c r="D198" s="9">
        <v>11</v>
      </c>
      <c r="E198" s="11" t="s">
        <v>239</v>
      </c>
    </row>
    <row r="199" spans="1:7" x14ac:dyDescent="0.2">
      <c r="A199" s="9" t="str">
        <f t="shared" si="3"/>
        <v>INDEC-CM - 43923-31</v>
      </c>
      <c r="B199" s="12">
        <v>43923</v>
      </c>
      <c r="C199" s="13" t="s">
        <v>46</v>
      </c>
      <c r="D199" s="9">
        <v>31</v>
      </c>
      <c r="E199" s="14" t="s">
        <v>240</v>
      </c>
      <c r="F199" s="14"/>
      <c r="G199" s="14"/>
    </row>
    <row r="200" spans="1:7" x14ac:dyDescent="0.2">
      <c r="A200" s="9" t="str">
        <f t="shared" si="3"/>
        <v>INDEC-CM - 31210-11</v>
      </c>
      <c r="B200" s="12">
        <v>31210</v>
      </c>
      <c r="C200" s="13" t="s">
        <v>46</v>
      </c>
      <c r="D200" s="9">
        <v>11</v>
      </c>
      <c r="E200" s="14" t="s">
        <v>241</v>
      </c>
      <c r="F200" s="14"/>
      <c r="G200" s="14"/>
    </row>
    <row r="201" spans="1:7" x14ac:dyDescent="0.2">
      <c r="A201" s="9" t="str">
        <f t="shared" si="3"/>
        <v>INDEC-CM - 37129-21</v>
      </c>
      <c r="B201" s="12">
        <v>37129</v>
      </c>
      <c r="C201" s="13" t="s">
        <v>46</v>
      </c>
      <c r="D201" s="9">
        <v>21</v>
      </c>
      <c r="E201" s="11" t="s">
        <v>242</v>
      </c>
    </row>
    <row r="202" spans="1:7" x14ac:dyDescent="0.2">
      <c r="A202" s="9" t="str">
        <f t="shared" si="3"/>
        <v>INDEC-CM - 37560-21</v>
      </c>
      <c r="B202" s="12">
        <v>37560</v>
      </c>
      <c r="C202" s="13" t="s">
        <v>46</v>
      </c>
      <c r="D202" s="9">
        <v>21</v>
      </c>
      <c r="E202" s="14" t="s">
        <v>243</v>
      </c>
      <c r="F202" s="14"/>
      <c r="G202" s="14"/>
    </row>
    <row r="203" spans="1:7" x14ac:dyDescent="0.2">
      <c r="A203" s="9" t="str">
        <f t="shared" si="3"/>
        <v>INDEC-CM - 42999-71</v>
      </c>
      <c r="B203" s="12">
        <v>42999</v>
      </c>
      <c r="C203" s="13" t="s">
        <v>46</v>
      </c>
      <c r="D203" s="9">
        <v>71</v>
      </c>
      <c r="E203" s="11" t="s">
        <v>244</v>
      </c>
    </row>
    <row r="204" spans="1:7" x14ac:dyDescent="0.2">
      <c r="A204" s="9" t="str">
        <f t="shared" si="3"/>
        <v>INDEC-CM - 41516-22</v>
      </c>
      <c r="B204" s="12">
        <v>41516</v>
      </c>
      <c r="C204" s="13" t="s">
        <v>46</v>
      </c>
      <c r="D204" s="9">
        <v>22</v>
      </c>
      <c r="E204" s="11" t="s">
        <v>245</v>
      </c>
    </row>
    <row r="205" spans="1:7" x14ac:dyDescent="0.2">
      <c r="A205" s="9" t="str">
        <f t="shared" si="3"/>
        <v>INDEC-CM - 37350-51</v>
      </c>
      <c r="B205" s="12">
        <v>37350</v>
      </c>
      <c r="C205" s="13" t="s">
        <v>46</v>
      </c>
      <c r="D205" s="9">
        <v>51</v>
      </c>
      <c r="E205" s="11" t="s">
        <v>246</v>
      </c>
    </row>
    <row r="206" spans="1:7" x14ac:dyDescent="0.2">
      <c r="A206" s="9" t="str">
        <f t="shared" si="3"/>
        <v>INDEC-CM - 44826-21</v>
      </c>
      <c r="B206" s="12">
        <v>44826</v>
      </c>
      <c r="C206" s="13" t="s">
        <v>46</v>
      </c>
      <c r="D206" s="9">
        <v>21</v>
      </c>
      <c r="E206" s="11" t="s">
        <v>247</v>
      </c>
    </row>
    <row r="207" spans="1:7" x14ac:dyDescent="0.2">
      <c r="A207" s="9" t="str">
        <f t="shared" si="3"/>
        <v>INDEC-CM - 31210-22</v>
      </c>
      <c r="B207" s="12">
        <v>31210</v>
      </c>
      <c r="C207" s="13" t="s">
        <v>46</v>
      </c>
      <c r="D207" s="9">
        <v>22</v>
      </c>
      <c r="E207" s="11" t="s">
        <v>248</v>
      </c>
    </row>
    <row r="208" spans="1:7" x14ac:dyDescent="0.2">
      <c r="A208" s="9" t="str">
        <f t="shared" si="3"/>
        <v>INDEC-CM - 31100-11</v>
      </c>
      <c r="B208" s="12">
        <v>31100</v>
      </c>
      <c r="C208" s="13" t="s">
        <v>46</v>
      </c>
      <c r="D208" s="9">
        <v>11</v>
      </c>
      <c r="E208" s="11" t="s">
        <v>249</v>
      </c>
    </row>
    <row r="209" spans="1:7" x14ac:dyDescent="0.2">
      <c r="A209" s="9" t="str">
        <f t="shared" si="3"/>
        <v>INDEC-CM - 46212-53</v>
      </c>
      <c r="B209" s="12">
        <v>46212</v>
      </c>
      <c r="C209" s="13" t="s">
        <v>46</v>
      </c>
      <c r="D209" s="9">
        <v>53</v>
      </c>
      <c r="E209" s="11" t="s">
        <v>250</v>
      </c>
    </row>
    <row r="210" spans="1:7" x14ac:dyDescent="0.2">
      <c r="A210" s="9" t="str">
        <f t="shared" si="3"/>
        <v>INDEC-CM - 46212-52</v>
      </c>
      <c r="B210" s="12">
        <v>46212</v>
      </c>
      <c r="C210" s="13" t="s">
        <v>46</v>
      </c>
      <c r="D210" s="9">
        <v>52</v>
      </c>
      <c r="E210" s="14" t="s">
        <v>251</v>
      </c>
      <c r="F210" s="14"/>
      <c r="G210" s="14"/>
    </row>
    <row r="211" spans="1:7" x14ac:dyDescent="0.2">
      <c r="A211" s="9" t="str">
        <f t="shared" si="3"/>
        <v>INDEC-CM - 15400-21</v>
      </c>
      <c r="B211" s="12">
        <v>15400</v>
      </c>
      <c r="C211" s="13" t="s">
        <v>46</v>
      </c>
      <c r="D211" s="9">
        <v>21</v>
      </c>
      <c r="E211" s="11" t="s">
        <v>252</v>
      </c>
    </row>
    <row r="212" spans="1:7" x14ac:dyDescent="0.2">
      <c r="A212" s="9" t="str">
        <f t="shared" si="3"/>
        <v>INDEC-CM - 43240-11</v>
      </c>
      <c r="B212" s="12">
        <v>43240</v>
      </c>
      <c r="C212" s="13" t="s">
        <v>46</v>
      </c>
      <c r="D212" s="9">
        <v>11</v>
      </c>
      <c r="E212" s="11" t="s">
        <v>253</v>
      </c>
    </row>
    <row r="213" spans="1:7" x14ac:dyDescent="0.2">
      <c r="A213" s="9" t="str">
        <f t="shared" si="3"/>
        <v>INDEC-CM - 31600-42</v>
      </c>
      <c r="B213" s="12">
        <v>31600</v>
      </c>
      <c r="C213" s="13" t="s">
        <v>46</v>
      </c>
      <c r="D213" s="9">
        <v>42</v>
      </c>
      <c r="E213" s="14" t="s">
        <v>254</v>
      </c>
      <c r="F213" s="14"/>
      <c r="G213" s="14"/>
    </row>
    <row r="214" spans="1:7" x14ac:dyDescent="0.2">
      <c r="A214" s="9" t="str">
        <f t="shared" si="3"/>
        <v>INDEC-CM - 42120-42</v>
      </c>
      <c r="B214" s="12">
        <v>42120</v>
      </c>
      <c r="C214" s="13" t="s">
        <v>46</v>
      </c>
      <c r="D214" s="9">
        <v>42</v>
      </c>
      <c r="E214" s="14" t="s">
        <v>255</v>
      </c>
      <c r="F214" s="14"/>
      <c r="G214" s="14"/>
    </row>
    <row r="215" spans="1:7" x14ac:dyDescent="0.2">
      <c r="A215" s="9" t="str">
        <f t="shared" si="3"/>
        <v>INDEC-CM - 42120-41</v>
      </c>
      <c r="B215" s="12">
        <v>42120</v>
      </c>
      <c r="C215" s="13" t="s">
        <v>46</v>
      </c>
      <c r="D215" s="9">
        <v>41</v>
      </c>
      <c r="E215" s="14" t="s">
        <v>256</v>
      </c>
      <c r="F215" s="14"/>
      <c r="G215" s="14"/>
    </row>
    <row r="216" spans="1:7" x14ac:dyDescent="0.2">
      <c r="A216" s="9" t="str">
        <f t="shared" si="3"/>
        <v>INDEC-CM - 42120-51</v>
      </c>
      <c r="B216" s="12">
        <v>42120</v>
      </c>
      <c r="C216" s="13" t="s">
        <v>46</v>
      </c>
      <c r="D216" s="9">
        <v>51</v>
      </c>
      <c r="E216" s="11" t="s">
        <v>257</v>
      </c>
    </row>
    <row r="217" spans="1:7" x14ac:dyDescent="0.2">
      <c r="A217" s="9" t="str">
        <f t="shared" si="3"/>
        <v>INDEC-CM - 37550-11</v>
      </c>
      <c r="B217" s="12">
        <v>37550</v>
      </c>
      <c r="C217" s="13" t="s">
        <v>46</v>
      </c>
      <c r="D217" s="9">
        <v>11</v>
      </c>
      <c r="E217" s="11" t="s">
        <v>258</v>
      </c>
    </row>
    <row r="218" spans="1:7" x14ac:dyDescent="0.2">
      <c r="A218" s="9" t="str">
        <f t="shared" si="3"/>
        <v>INDEC-CM - 37410-11</v>
      </c>
      <c r="B218" s="12">
        <v>37410</v>
      </c>
      <c r="C218" s="13" t="s">
        <v>46</v>
      </c>
      <c r="D218" s="9">
        <v>11</v>
      </c>
      <c r="E218" s="11" t="s">
        <v>259</v>
      </c>
    </row>
    <row r="219" spans="1:7" x14ac:dyDescent="0.2">
      <c r="A219" s="9" t="str">
        <f t="shared" si="3"/>
        <v>INDEC-CM - 31210-33</v>
      </c>
      <c r="B219" s="12">
        <v>31210</v>
      </c>
      <c r="C219" s="13" t="s">
        <v>46</v>
      </c>
      <c r="D219" s="9">
        <v>33</v>
      </c>
      <c r="E219" s="11" t="s">
        <v>260</v>
      </c>
    </row>
    <row r="220" spans="1:7" x14ac:dyDescent="0.2">
      <c r="A220" s="9" t="str">
        <f t="shared" si="3"/>
        <v>INDEC-CM - 37540-21</v>
      </c>
      <c r="B220" s="12">
        <v>37540</v>
      </c>
      <c r="C220" s="13" t="s">
        <v>46</v>
      </c>
      <c r="D220" s="9">
        <v>21</v>
      </c>
      <c r="E220" s="11" t="s">
        <v>261</v>
      </c>
    </row>
    <row r="223" spans="1:7" x14ac:dyDescent="0.2">
      <c r="A223" s="15"/>
      <c r="B223" s="7" t="s">
        <v>540</v>
      </c>
      <c r="C223" s="15"/>
      <c r="D223" s="16"/>
      <c r="E223" s="15"/>
    </row>
    <row r="224" spans="1:7" x14ac:dyDescent="0.2">
      <c r="A224" s="15"/>
      <c r="B224" s="17"/>
      <c r="C224" s="15"/>
      <c r="D224" s="16"/>
      <c r="E224" s="15"/>
    </row>
    <row r="225" spans="1:5" ht="11.25" customHeight="1" x14ac:dyDescent="0.2">
      <c r="A225" s="642" t="s">
        <v>348</v>
      </c>
      <c r="B225" s="643" t="s">
        <v>43</v>
      </c>
      <c r="C225" s="643"/>
      <c r="D225" s="643"/>
      <c r="E225" s="642" t="s">
        <v>44</v>
      </c>
    </row>
    <row r="226" spans="1:5" ht="12" customHeight="1" x14ac:dyDescent="0.2">
      <c r="A226" s="642"/>
      <c r="B226" s="643" t="s">
        <v>45</v>
      </c>
      <c r="C226" s="643"/>
      <c r="D226" s="643"/>
      <c r="E226" s="642"/>
    </row>
    <row r="227" spans="1:5" x14ac:dyDescent="0.2">
      <c r="A227" s="9" t="str">
        <f>CONCATENATE(B227,C227,D227)</f>
        <v/>
      </c>
      <c r="B227" s="18"/>
      <c r="C227" s="15"/>
      <c r="D227" s="16"/>
      <c r="E227" s="15"/>
    </row>
    <row r="228" spans="1:5" x14ac:dyDescent="0.2">
      <c r="A228" s="9" t="str">
        <f>CONCATENATE("INDEC-CM - ",B228,C228,D228)</f>
        <v>INDEC-CM - 37370-0</v>
      </c>
      <c r="B228" s="19">
        <v>37370</v>
      </c>
      <c r="C228" s="19" t="s">
        <v>46</v>
      </c>
      <c r="D228" s="16">
        <v>0</v>
      </c>
      <c r="E228" s="15" t="s">
        <v>541</v>
      </c>
    </row>
    <row r="229" spans="1:5" x14ac:dyDescent="0.2">
      <c r="A229" s="9" t="str">
        <f>CONCATENATE("INDEC-CM - ",B229,C229,D229)</f>
        <v>INDEC-CM - 31600-6</v>
      </c>
      <c r="B229" s="19">
        <v>31600</v>
      </c>
      <c r="C229" s="19" t="s">
        <v>46</v>
      </c>
      <c r="D229" s="16">
        <v>6</v>
      </c>
      <c r="E229" s="15" t="s">
        <v>542</v>
      </c>
    </row>
    <row r="230" spans="1:5" x14ac:dyDescent="0.2">
      <c r="A230" s="9" t="str">
        <f>CONCATENATE("INDEC-CM - ",B230,C230,D230)</f>
        <v>INDEC-CM - 41278-0</v>
      </c>
      <c r="B230" s="19">
        <v>41278</v>
      </c>
      <c r="C230" s="19" t="s">
        <v>46</v>
      </c>
      <c r="D230" s="16">
        <v>0</v>
      </c>
      <c r="E230" s="15" t="s">
        <v>543</v>
      </c>
    </row>
    <row r="231" spans="1:5" x14ac:dyDescent="0.2">
      <c r="A231" s="9" t="str">
        <f>CONCATENATE("INDEC-CM - ",B231,C231,D231)</f>
        <v>INDEC-CM - 31600-7</v>
      </c>
      <c r="B231" s="19">
        <v>31600</v>
      </c>
      <c r="C231" s="19" t="s">
        <v>46</v>
      </c>
      <c r="D231" s="16">
        <v>7</v>
      </c>
      <c r="E231" s="15" t="s">
        <v>544</v>
      </c>
    </row>
    <row r="232" spans="1:5" x14ac:dyDescent="0.2">
      <c r="A232" s="9" t="str">
        <f>CONCATENATE("INDEC-CM - ",B232,C232,D232)</f>
        <v>INDEC-CM - 42120-41/42/51</v>
      </c>
      <c r="B232" s="19">
        <v>42120</v>
      </c>
      <c r="C232" s="19" t="s">
        <v>46</v>
      </c>
      <c r="D232" s="16" t="s">
        <v>545</v>
      </c>
      <c r="E232" s="15" t="s">
        <v>546</v>
      </c>
    </row>
    <row r="235" spans="1:5" x14ac:dyDescent="0.2">
      <c r="A235" s="21"/>
      <c r="B235" s="7" t="s">
        <v>548</v>
      </c>
      <c r="C235" s="20"/>
      <c r="D235" s="21"/>
      <c r="E235" s="21"/>
    </row>
    <row r="236" spans="1:5" x14ac:dyDescent="0.2">
      <c r="A236" s="24"/>
      <c r="B236" s="22"/>
      <c r="C236" s="22"/>
      <c r="D236" s="23"/>
      <c r="E236" s="22"/>
    </row>
    <row r="237" spans="1:5" x14ac:dyDescent="0.2">
      <c r="A237" s="642" t="s">
        <v>348</v>
      </c>
      <c r="B237" s="643" t="s">
        <v>43</v>
      </c>
      <c r="C237" s="643"/>
      <c r="D237" s="643"/>
      <c r="E237" s="643" t="s">
        <v>332</v>
      </c>
    </row>
    <row r="238" spans="1:5" x14ac:dyDescent="0.2">
      <c r="A238" s="642"/>
      <c r="B238" s="642"/>
      <c r="C238" s="642"/>
      <c r="D238" s="642"/>
      <c r="E238" s="643"/>
    </row>
    <row r="239" spans="1:5" x14ac:dyDescent="0.2">
      <c r="A239" s="22"/>
      <c r="B239" s="22"/>
      <c r="C239" s="22"/>
      <c r="D239" s="25"/>
      <c r="E239" s="26" t="s">
        <v>268</v>
      </c>
    </row>
    <row r="240" spans="1:5" x14ac:dyDescent="0.2">
      <c r="A240" s="22"/>
      <c r="B240" s="22"/>
      <c r="C240" s="22"/>
      <c r="D240" s="25"/>
      <c r="E240" s="26"/>
    </row>
    <row r="241" spans="1:5" x14ac:dyDescent="0.2">
      <c r="A241" s="24"/>
      <c r="B241" s="22"/>
      <c r="C241" s="22"/>
      <c r="D241" s="23"/>
      <c r="E241" s="20" t="s">
        <v>333</v>
      </c>
    </row>
    <row r="242" spans="1:5" x14ac:dyDescent="0.2">
      <c r="A242" s="24"/>
      <c r="B242" s="22"/>
      <c r="C242" s="22"/>
      <c r="D242" s="23"/>
      <c r="E242" s="20"/>
    </row>
    <row r="243" spans="1:5" x14ac:dyDescent="0.2">
      <c r="A243" s="22"/>
      <c r="B243" s="24"/>
      <c r="C243" s="22"/>
      <c r="D243" s="25"/>
      <c r="E243" s="20" t="s">
        <v>334</v>
      </c>
    </row>
    <row r="244" spans="1:5" x14ac:dyDescent="0.2">
      <c r="A244" s="9" t="str">
        <f>CONCATENATE("INDEC-MO - ",B244,C244,D244)</f>
        <v>INDEC-MO - 51560-11</v>
      </c>
      <c r="B244" s="27">
        <v>51560</v>
      </c>
      <c r="C244" s="22" t="s">
        <v>46</v>
      </c>
      <c r="D244" s="25">
        <v>11</v>
      </c>
      <c r="E244" s="28" t="s">
        <v>335</v>
      </c>
    </row>
    <row r="245" spans="1:5" x14ac:dyDescent="0.2">
      <c r="A245" s="9" t="str">
        <f>CONCATENATE("INDEC-MO - ",B245,C245,D245)</f>
        <v>INDEC-MO - 51560-12</v>
      </c>
      <c r="B245" s="27">
        <v>51560</v>
      </c>
      <c r="C245" s="22" t="s">
        <v>46</v>
      </c>
      <c r="D245" s="25">
        <v>12</v>
      </c>
      <c r="E245" s="28" t="s">
        <v>336</v>
      </c>
    </row>
    <row r="246" spans="1:5" x14ac:dyDescent="0.2">
      <c r="A246" s="9" t="str">
        <f>CONCATENATE("INDEC-MO - ",B246,C246,D246)</f>
        <v>INDEC-MO - 51560-13</v>
      </c>
      <c r="B246" s="27">
        <v>51560</v>
      </c>
      <c r="C246" s="22" t="s">
        <v>46</v>
      </c>
      <c r="D246" s="25">
        <v>13</v>
      </c>
      <c r="E246" s="28" t="s">
        <v>337</v>
      </c>
    </row>
    <row r="247" spans="1:5" x14ac:dyDescent="0.2">
      <c r="A247" s="9" t="str">
        <f>CONCATENATE("INDEC-MO - ",B247,C247,D247)</f>
        <v>INDEC-MO - 51560-14</v>
      </c>
      <c r="B247" s="27">
        <v>51560</v>
      </c>
      <c r="C247" s="22" t="s">
        <v>46</v>
      </c>
      <c r="D247" s="25">
        <v>14</v>
      </c>
      <c r="E247" s="28" t="s">
        <v>338</v>
      </c>
    </row>
    <row r="248" spans="1:5" x14ac:dyDescent="0.2">
      <c r="A248" s="9" t="str">
        <f>CONCATENATE(B248,C248,D248)</f>
        <v/>
      </c>
      <c r="B248" s="27"/>
      <c r="C248" s="22"/>
      <c r="D248" s="25"/>
      <c r="E248" s="22"/>
    </row>
    <row r="249" spans="1:5" x14ac:dyDescent="0.2">
      <c r="A249" s="9" t="str">
        <f>CONCATENATE("INDEC-MO - ",B249,C249,D249)</f>
        <v>INDEC-MO - 51560-32</v>
      </c>
      <c r="B249" s="27">
        <v>51560</v>
      </c>
      <c r="C249" s="22" t="s">
        <v>46</v>
      </c>
      <c r="D249" s="25">
        <v>32</v>
      </c>
      <c r="E249" s="20" t="s">
        <v>339</v>
      </c>
    </row>
    <row r="250" spans="1:5" x14ac:dyDescent="0.2">
      <c r="A250" s="9" t="str">
        <f>CONCATENATE(B250,C250,D250)</f>
        <v/>
      </c>
      <c r="B250" s="27"/>
      <c r="C250" s="22"/>
      <c r="D250" s="25"/>
      <c r="E250" s="22"/>
    </row>
    <row r="251" spans="1:5" x14ac:dyDescent="0.2">
      <c r="A251" s="9" t="str">
        <f>CONCATENATE("INDEC-MO - ",B251,C251,D251)</f>
        <v>INDEC-MO - 81291-1</v>
      </c>
      <c r="B251" s="27">
        <v>81291</v>
      </c>
      <c r="C251" s="22" t="s">
        <v>46</v>
      </c>
      <c r="D251" s="25">
        <v>1</v>
      </c>
      <c r="E251" s="26" t="s">
        <v>340</v>
      </c>
    </row>
    <row r="252" spans="1:5" x14ac:dyDescent="0.2">
      <c r="A252" s="9" t="str">
        <f>CONCATENATE(B252,C252,D252)</f>
        <v/>
      </c>
      <c r="B252" s="27"/>
      <c r="C252" s="22"/>
      <c r="D252" s="25"/>
      <c r="E252" s="22"/>
    </row>
    <row r="253" spans="1:5" x14ac:dyDescent="0.2">
      <c r="A253" s="9" t="str">
        <f>CONCATENATE(B253,C253,D253)</f>
        <v/>
      </c>
      <c r="B253" s="27"/>
      <c r="C253" s="22"/>
      <c r="D253" s="25"/>
      <c r="E253" s="26" t="s">
        <v>341</v>
      </c>
    </row>
    <row r="254" spans="1:5" x14ac:dyDescent="0.2">
      <c r="A254" s="9" t="str">
        <f t="shared" ref="A254:A259" si="4">CONCATENATE("INDEC-MO - ",B254,C254,D254)</f>
        <v>INDEC-MO - 51641-1</v>
      </c>
      <c r="B254" s="27">
        <v>51641</v>
      </c>
      <c r="C254" s="22" t="s">
        <v>46</v>
      </c>
      <c r="D254" s="25">
        <v>1</v>
      </c>
      <c r="E254" s="28" t="s">
        <v>342</v>
      </c>
    </row>
    <row r="255" spans="1:5" x14ac:dyDescent="0.2">
      <c r="A255" s="9" t="str">
        <f t="shared" si="4"/>
        <v>INDEC-MO - 51620-1</v>
      </c>
      <c r="B255" s="27">
        <v>51620</v>
      </c>
      <c r="C255" s="22" t="s">
        <v>46</v>
      </c>
      <c r="D255" s="25">
        <v>1</v>
      </c>
      <c r="E255" s="28" t="s">
        <v>343</v>
      </c>
    </row>
    <row r="256" spans="1:5" x14ac:dyDescent="0.2">
      <c r="A256" s="9" t="str">
        <f t="shared" si="4"/>
        <v>INDEC-MO - 51690-1</v>
      </c>
      <c r="B256" s="27">
        <v>51690</v>
      </c>
      <c r="C256" s="22" t="s">
        <v>46</v>
      </c>
      <c r="D256" s="25">
        <v>1</v>
      </c>
      <c r="E256" s="28" t="s">
        <v>344</v>
      </c>
    </row>
    <row r="257" spans="1:7" x14ac:dyDescent="0.2">
      <c r="A257" s="9" t="str">
        <f t="shared" si="4"/>
        <v>INDEC-MO - 51630-1</v>
      </c>
      <c r="B257" s="27">
        <v>51630</v>
      </c>
      <c r="C257" s="22" t="s">
        <v>46</v>
      </c>
      <c r="D257" s="25">
        <v>1</v>
      </c>
      <c r="E257" s="28" t="s">
        <v>345</v>
      </c>
    </row>
    <row r="258" spans="1:7" x14ac:dyDescent="0.2">
      <c r="A258" s="9" t="str">
        <f t="shared" si="4"/>
        <v>INDEC-MO - 51720-1</v>
      </c>
      <c r="B258" s="27">
        <v>51720</v>
      </c>
      <c r="C258" s="22" t="s">
        <v>46</v>
      </c>
      <c r="D258" s="25">
        <v>1</v>
      </c>
      <c r="E258" s="28" t="s">
        <v>346</v>
      </c>
    </row>
    <row r="259" spans="1:7" x14ac:dyDescent="0.2">
      <c r="A259" s="9" t="str">
        <f t="shared" si="4"/>
        <v>INDEC-MO - 51730-1</v>
      </c>
      <c r="B259" s="27">
        <v>51730</v>
      </c>
      <c r="C259" s="22" t="s">
        <v>46</v>
      </c>
      <c r="D259" s="25">
        <v>1</v>
      </c>
      <c r="E259" s="28" t="s">
        <v>347</v>
      </c>
    </row>
    <row r="262" spans="1:7" x14ac:dyDescent="0.2">
      <c r="A262" s="31"/>
      <c r="B262" s="7" t="s">
        <v>549</v>
      </c>
      <c r="C262" s="29"/>
      <c r="D262" s="30"/>
      <c r="E262" s="30"/>
      <c r="F262" s="30"/>
      <c r="G262" s="31"/>
    </row>
    <row r="263" spans="1:7" x14ac:dyDescent="0.2">
      <c r="A263" s="33"/>
      <c r="B263" s="29"/>
      <c r="C263" s="29"/>
      <c r="D263" s="32"/>
      <c r="E263" s="29"/>
      <c r="F263" s="29"/>
      <c r="G263" s="17"/>
    </row>
    <row r="264" spans="1:7" ht="11.25" customHeight="1" x14ac:dyDescent="0.2">
      <c r="A264" s="642" t="s">
        <v>348</v>
      </c>
      <c r="B264" s="643" t="s">
        <v>43</v>
      </c>
      <c r="C264" s="643"/>
      <c r="D264" s="643"/>
      <c r="E264" s="643" t="s">
        <v>332</v>
      </c>
      <c r="F264" s="34"/>
      <c r="G264" s="34"/>
    </row>
    <row r="265" spans="1:7" x14ac:dyDescent="0.2">
      <c r="A265" s="642"/>
      <c r="B265" s="642"/>
      <c r="C265" s="642"/>
      <c r="D265" s="642"/>
      <c r="E265" s="643"/>
      <c r="F265" s="34"/>
      <c r="G265" s="34"/>
    </row>
    <row r="266" spans="1:7" x14ac:dyDescent="0.2">
      <c r="A266" s="29"/>
      <c r="B266" s="29"/>
      <c r="C266" s="29"/>
      <c r="D266" s="30"/>
      <c r="E266" s="29"/>
      <c r="F266" s="29"/>
      <c r="G266" s="29"/>
    </row>
    <row r="267" spans="1:7" x14ac:dyDescent="0.2">
      <c r="A267" s="9" t="str">
        <f>CONCATENATE("INDEC-MO - ",B267,C267,D267)</f>
        <v>INDEC-MO - 51720-1</v>
      </c>
      <c r="B267" s="27">
        <v>51720</v>
      </c>
      <c r="C267" s="22" t="s">
        <v>46</v>
      </c>
      <c r="D267" s="25">
        <v>1</v>
      </c>
      <c r="E267" s="35" t="s">
        <v>550</v>
      </c>
      <c r="F267" s="29"/>
      <c r="G267" s="29"/>
    </row>
    <row r="268" spans="1:7" x14ac:dyDescent="0.2">
      <c r="A268" s="29"/>
      <c r="B268" s="29"/>
      <c r="C268" s="29"/>
      <c r="D268" s="30"/>
      <c r="E268" s="29"/>
      <c r="F268" s="29"/>
      <c r="G268" s="29"/>
    </row>
    <row r="271" spans="1:7" x14ac:dyDescent="0.2">
      <c r="A271" s="20"/>
      <c r="B271" s="7" t="s">
        <v>349</v>
      </c>
      <c r="C271" s="20"/>
      <c r="D271" s="21"/>
    </row>
    <row r="272" spans="1:7" x14ac:dyDescent="0.2">
      <c r="A272" s="22"/>
      <c r="B272" s="22"/>
      <c r="C272" s="22"/>
      <c r="D272" s="25"/>
    </row>
    <row r="273" spans="1:5" x14ac:dyDescent="0.2">
      <c r="A273" s="642" t="s">
        <v>348</v>
      </c>
      <c r="B273" s="643" t="s">
        <v>43</v>
      </c>
      <c r="C273" s="643"/>
      <c r="D273" s="643"/>
      <c r="E273" s="643" t="s">
        <v>350</v>
      </c>
    </row>
    <row r="274" spans="1:5" x14ac:dyDescent="0.2">
      <c r="A274" s="642"/>
      <c r="B274" s="643" t="s">
        <v>45</v>
      </c>
      <c r="C274" s="643"/>
      <c r="D274" s="643"/>
      <c r="E274" s="643"/>
    </row>
    <row r="275" spans="1:5" x14ac:dyDescent="0.2">
      <c r="B275" s="22"/>
      <c r="C275" s="22"/>
      <c r="D275" s="25"/>
      <c r="E275" s="36"/>
    </row>
    <row r="276" spans="1:5" x14ac:dyDescent="0.2">
      <c r="A276" s="9" t="str">
        <f t="shared" ref="A276:A283" si="5">CONCATENATE("INDEC-EC - ",B276,C276,D276)</f>
        <v>INDEC-EC - 43520-11</v>
      </c>
      <c r="B276" s="37">
        <v>43520</v>
      </c>
      <c r="C276" s="37" t="s">
        <v>46</v>
      </c>
      <c r="D276" s="25">
        <v>11</v>
      </c>
      <c r="E276" s="28" t="s">
        <v>351</v>
      </c>
    </row>
    <row r="277" spans="1:5" x14ac:dyDescent="0.2">
      <c r="A277" s="9" t="str">
        <f t="shared" si="5"/>
        <v>INDEC-EC - 44440-2</v>
      </c>
      <c r="B277" s="37">
        <v>44440</v>
      </c>
      <c r="C277" s="37" t="s">
        <v>46</v>
      </c>
      <c r="D277" s="25">
        <v>2</v>
      </c>
      <c r="E277" s="28" t="s">
        <v>352</v>
      </c>
    </row>
    <row r="278" spans="1:5" x14ac:dyDescent="0.2">
      <c r="A278" s="9" t="str">
        <f t="shared" si="5"/>
        <v>INDEC-EC - 44221-11</v>
      </c>
      <c r="B278" s="37">
        <v>44221</v>
      </c>
      <c r="C278" s="37" t="s">
        <v>46</v>
      </c>
      <c r="D278" s="25">
        <v>11</v>
      </c>
      <c r="E278" s="28" t="s">
        <v>353</v>
      </c>
    </row>
    <row r="279" spans="1:5" x14ac:dyDescent="0.2">
      <c r="A279" s="9" t="str">
        <f t="shared" si="5"/>
        <v>INDEC-EC - 44221-12</v>
      </c>
      <c r="B279" s="37">
        <v>44221</v>
      </c>
      <c r="C279" s="37" t="s">
        <v>46</v>
      </c>
      <c r="D279" s="25">
        <v>12</v>
      </c>
      <c r="E279" s="28" t="s">
        <v>354</v>
      </c>
    </row>
    <row r="280" spans="1:5" x14ac:dyDescent="0.2">
      <c r="A280" s="9" t="str">
        <f t="shared" si="5"/>
        <v>INDEC-EC - 43520-21</v>
      </c>
      <c r="B280" s="37">
        <v>43520</v>
      </c>
      <c r="C280" s="37" t="s">
        <v>46</v>
      </c>
      <c r="D280" s="25">
        <v>21</v>
      </c>
      <c r="E280" s="28" t="s">
        <v>355</v>
      </c>
    </row>
    <row r="281" spans="1:5" x14ac:dyDescent="0.2">
      <c r="A281" s="9" t="str">
        <f t="shared" si="5"/>
        <v>INDEC-EC - 44231-21</v>
      </c>
      <c r="B281" s="37">
        <v>44231</v>
      </c>
      <c r="C281" s="37" t="s">
        <v>46</v>
      </c>
      <c r="D281" s="25">
        <v>21</v>
      </c>
      <c r="E281" s="28" t="s">
        <v>356</v>
      </c>
    </row>
    <row r="282" spans="1:5" x14ac:dyDescent="0.2">
      <c r="A282" s="9" t="str">
        <f t="shared" si="5"/>
        <v>INDEC-EC - 44440-11</v>
      </c>
      <c r="B282" s="37">
        <v>44440</v>
      </c>
      <c r="C282" s="37" t="s">
        <v>46</v>
      </c>
      <c r="D282" s="25">
        <v>11</v>
      </c>
      <c r="E282" s="28" t="s">
        <v>357</v>
      </c>
    </row>
    <row r="283" spans="1:5" x14ac:dyDescent="0.2">
      <c r="A283" s="9" t="str">
        <f t="shared" si="5"/>
        <v>INDEC-EC - 44231-11</v>
      </c>
      <c r="B283" s="37">
        <v>44231</v>
      </c>
      <c r="C283" s="37" t="s">
        <v>46</v>
      </c>
      <c r="D283" s="25">
        <v>11</v>
      </c>
      <c r="E283" s="28" t="s">
        <v>358</v>
      </c>
    </row>
    <row r="286" spans="1:5" x14ac:dyDescent="0.2">
      <c r="A286" s="20"/>
      <c r="B286" s="7" t="s">
        <v>359</v>
      </c>
      <c r="C286" s="20"/>
      <c r="D286" s="21"/>
    </row>
    <row r="287" spans="1:5" x14ac:dyDescent="0.2">
      <c r="A287" s="22"/>
      <c r="B287" s="22"/>
      <c r="C287" s="22"/>
      <c r="D287" s="25"/>
    </row>
    <row r="288" spans="1:5" x14ac:dyDescent="0.2">
      <c r="A288" s="642" t="s">
        <v>348</v>
      </c>
      <c r="B288" s="643" t="s">
        <v>43</v>
      </c>
      <c r="C288" s="643"/>
      <c r="D288" s="643"/>
      <c r="E288" s="643" t="s">
        <v>360</v>
      </c>
    </row>
    <row r="289" spans="1:7" x14ac:dyDescent="0.2">
      <c r="A289" s="642"/>
      <c r="B289" s="643" t="s">
        <v>45</v>
      </c>
      <c r="C289" s="643"/>
      <c r="D289" s="643"/>
      <c r="E289" s="643"/>
    </row>
    <row r="290" spans="1:7" x14ac:dyDescent="0.2">
      <c r="B290" s="22"/>
      <c r="C290" s="22"/>
      <c r="D290" s="25"/>
      <c r="E290" s="36"/>
    </row>
    <row r="291" spans="1:7" x14ac:dyDescent="0.2">
      <c r="A291" s="9" t="str">
        <f t="shared" ref="A291:A298" si="6">CONCATENATE("INDEC-SA - ",B291,C291,D291)</f>
        <v>INDEC-SA - 83107-1</v>
      </c>
      <c r="B291" s="22">
        <v>83107</v>
      </c>
      <c r="C291" s="22" t="s">
        <v>46</v>
      </c>
      <c r="D291" s="25">
        <v>1</v>
      </c>
      <c r="E291" s="38" t="s">
        <v>361</v>
      </c>
    </row>
    <row r="292" spans="1:7" x14ac:dyDescent="0.2">
      <c r="A292" s="9" t="str">
        <f t="shared" si="6"/>
        <v>INDEC-SA - 71240-21</v>
      </c>
      <c r="B292" s="22">
        <v>71240</v>
      </c>
      <c r="C292" s="22" t="s">
        <v>46</v>
      </c>
      <c r="D292" s="25">
        <v>21</v>
      </c>
      <c r="E292" s="22" t="s">
        <v>362</v>
      </c>
    </row>
    <row r="293" spans="1:7" x14ac:dyDescent="0.2">
      <c r="A293" s="9" t="str">
        <f t="shared" si="6"/>
        <v>INDEC-SA - 71240-31</v>
      </c>
      <c r="B293" s="22">
        <v>71240</v>
      </c>
      <c r="C293" s="22" t="s">
        <v>46</v>
      </c>
      <c r="D293" s="25">
        <v>31</v>
      </c>
      <c r="E293" s="22" t="s">
        <v>363</v>
      </c>
    </row>
    <row r="294" spans="1:7" x14ac:dyDescent="0.2">
      <c r="A294" s="9" t="str">
        <f t="shared" si="6"/>
        <v>INDEC-SA - 71240-11</v>
      </c>
      <c r="B294" s="22">
        <v>71240</v>
      </c>
      <c r="C294" s="22" t="s">
        <v>46</v>
      </c>
      <c r="D294" s="25">
        <v>11</v>
      </c>
      <c r="E294" s="38" t="s">
        <v>364</v>
      </c>
    </row>
    <row r="295" spans="1:7" x14ac:dyDescent="0.2">
      <c r="A295" s="9" t="str">
        <f t="shared" si="6"/>
        <v>INDEC-SA - 74110-11</v>
      </c>
      <c r="B295" s="22">
        <v>74110</v>
      </c>
      <c r="C295" s="22" t="s">
        <v>46</v>
      </c>
      <c r="D295" s="25">
        <v>11</v>
      </c>
      <c r="E295" s="38" t="s">
        <v>365</v>
      </c>
    </row>
    <row r="296" spans="1:7" x14ac:dyDescent="0.2">
      <c r="A296" s="9" t="str">
        <f t="shared" si="6"/>
        <v>INDEC-SA - 71233-11</v>
      </c>
      <c r="B296" s="22">
        <v>71233</v>
      </c>
      <c r="C296" s="22" t="s">
        <v>46</v>
      </c>
      <c r="D296" s="25">
        <v>11</v>
      </c>
      <c r="E296" s="38" t="s">
        <v>366</v>
      </c>
    </row>
    <row r="297" spans="1:7" x14ac:dyDescent="0.2">
      <c r="A297" s="9" t="str">
        <f t="shared" si="6"/>
        <v>INDEC-SA - 51800-11</v>
      </c>
      <c r="B297" s="22">
        <v>51800</v>
      </c>
      <c r="C297" s="22" t="s">
        <v>46</v>
      </c>
      <c r="D297" s="25">
        <v>11</v>
      </c>
      <c r="E297" s="39" t="s">
        <v>367</v>
      </c>
    </row>
    <row r="298" spans="1:7" x14ac:dyDescent="0.2">
      <c r="A298" s="9" t="str">
        <f t="shared" si="6"/>
        <v>INDEC-SA - 51800-21</v>
      </c>
      <c r="B298" s="22">
        <v>51800</v>
      </c>
      <c r="C298" s="22" t="s">
        <v>46</v>
      </c>
      <c r="D298" s="25">
        <v>21</v>
      </c>
      <c r="E298" s="38" t="s">
        <v>368</v>
      </c>
    </row>
    <row r="301" spans="1:7" x14ac:dyDescent="0.2">
      <c r="A301" s="40"/>
      <c r="B301" s="7" t="s">
        <v>508</v>
      </c>
      <c r="C301" s="40"/>
      <c r="D301" s="41"/>
      <c r="E301" s="40"/>
      <c r="F301" s="40"/>
      <c r="G301" s="40"/>
    </row>
    <row r="303" spans="1:7" x14ac:dyDescent="0.2">
      <c r="A303" s="642" t="s">
        <v>348</v>
      </c>
      <c r="B303" s="643" t="s">
        <v>43</v>
      </c>
      <c r="C303" s="643"/>
      <c r="D303" s="643"/>
      <c r="E303" s="642" t="s">
        <v>44</v>
      </c>
    </row>
    <row r="304" spans="1:7" x14ac:dyDescent="0.2">
      <c r="A304" s="642"/>
      <c r="B304" s="643" t="s">
        <v>45</v>
      </c>
      <c r="C304" s="643"/>
      <c r="D304" s="643"/>
      <c r="E304" s="642"/>
    </row>
    <row r="305" spans="1:5" x14ac:dyDescent="0.2">
      <c r="A305" s="10"/>
      <c r="B305" s="36"/>
      <c r="C305" s="36"/>
      <c r="D305" s="36"/>
      <c r="E305" s="10"/>
    </row>
    <row r="306" spans="1:5" x14ac:dyDescent="0.2">
      <c r="A306" s="9" t="str">
        <f t="shared" ref="A306:A337" si="7">CONCATENATE("INDEC-PB - ",B306,C306,D306)</f>
        <v>INDEC-PB - 42120-1</v>
      </c>
      <c r="B306" s="9">
        <v>42120</v>
      </c>
      <c r="C306" s="11" t="s">
        <v>46</v>
      </c>
      <c r="D306" s="9">
        <v>1</v>
      </c>
      <c r="E306" s="42" t="s">
        <v>369</v>
      </c>
    </row>
    <row r="307" spans="1:5" x14ac:dyDescent="0.2">
      <c r="A307" s="9" t="str">
        <f t="shared" si="7"/>
        <v>INDEC-PB - 42120-2</v>
      </c>
      <c r="B307" s="9">
        <v>42120</v>
      </c>
      <c r="C307" s="11" t="s">
        <v>46</v>
      </c>
      <c r="D307" s="9">
        <v>2</v>
      </c>
      <c r="E307" s="42" t="s">
        <v>370</v>
      </c>
    </row>
    <row r="308" spans="1:5" x14ac:dyDescent="0.2">
      <c r="A308" s="9" t="str">
        <f t="shared" si="7"/>
        <v>INDEC-PB - 37910-1</v>
      </c>
      <c r="B308" s="9">
        <v>37910</v>
      </c>
      <c r="C308" s="11" t="s">
        <v>46</v>
      </c>
      <c r="D308" s="9">
        <v>1</v>
      </c>
      <c r="E308" s="42" t="s">
        <v>371</v>
      </c>
    </row>
    <row r="309" spans="1:5" x14ac:dyDescent="0.2">
      <c r="A309" s="9" t="str">
        <f t="shared" si="7"/>
        <v>INDEC-PB - 42921-4</v>
      </c>
      <c r="B309" s="9">
        <v>42921</v>
      </c>
      <c r="C309" s="11" t="s">
        <v>46</v>
      </c>
      <c r="D309" s="9">
        <v>4</v>
      </c>
      <c r="E309" s="42" t="s">
        <v>372</v>
      </c>
    </row>
    <row r="310" spans="1:5" x14ac:dyDescent="0.2">
      <c r="A310" s="9" t="str">
        <f t="shared" si="7"/>
        <v>INDEC-PB - 44251-1</v>
      </c>
      <c r="B310" s="9">
        <v>44251</v>
      </c>
      <c r="C310" s="11" t="s">
        <v>46</v>
      </c>
      <c r="D310" s="9">
        <v>1</v>
      </c>
      <c r="E310" s="42" t="s">
        <v>373</v>
      </c>
    </row>
    <row r="311" spans="1:5" x14ac:dyDescent="0.2">
      <c r="A311" s="9" t="str">
        <f t="shared" si="7"/>
        <v>INDEC-PB - 42922-1</v>
      </c>
      <c r="B311" s="9">
        <v>42922</v>
      </c>
      <c r="C311" s="11" t="s">
        <v>46</v>
      </c>
      <c r="D311" s="9">
        <v>1</v>
      </c>
      <c r="E311" s="42" t="s">
        <v>374</v>
      </c>
    </row>
    <row r="312" spans="1:5" x14ac:dyDescent="0.2">
      <c r="A312" s="9" t="str">
        <f t="shared" si="7"/>
        <v>INDEC-PB - 33380-1</v>
      </c>
      <c r="B312" s="9">
        <v>33380</v>
      </c>
      <c r="C312" s="11" t="s">
        <v>46</v>
      </c>
      <c r="D312" s="9">
        <v>1</v>
      </c>
      <c r="E312" s="42" t="s">
        <v>375</v>
      </c>
    </row>
    <row r="313" spans="1:5" x14ac:dyDescent="0.2">
      <c r="A313" s="9" t="str">
        <f t="shared" si="7"/>
        <v>INDEC-PB - 49229-1</v>
      </c>
      <c r="B313" s="9">
        <v>49229</v>
      </c>
      <c r="C313" s="11" t="s">
        <v>46</v>
      </c>
      <c r="D313" s="9">
        <v>1</v>
      </c>
      <c r="E313" s="42" t="s">
        <v>376</v>
      </c>
    </row>
    <row r="314" spans="1:5" x14ac:dyDescent="0.2">
      <c r="A314" s="9" t="str">
        <f t="shared" si="7"/>
        <v>INDEC-PB - 46420-1</v>
      </c>
      <c r="B314" s="9">
        <v>46420</v>
      </c>
      <c r="C314" s="11" t="s">
        <v>46</v>
      </c>
      <c r="D314" s="9">
        <v>1</v>
      </c>
      <c r="E314" s="42" t="s">
        <v>377</v>
      </c>
    </row>
    <row r="315" spans="1:5" x14ac:dyDescent="0.2">
      <c r="A315" s="9" t="str">
        <f t="shared" si="7"/>
        <v>INDEC-PB - 41263-1</v>
      </c>
      <c r="B315" s="9">
        <v>41263</v>
      </c>
      <c r="C315" s="11" t="s">
        <v>46</v>
      </c>
      <c r="D315" s="9">
        <v>1</v>
      </c>
      <c r="E315" s="42" t="s">
        <v>378</v>
      </c>
    </row>
    <row r="316" spans="1:5" x14ac:dyDescent="0.2">
      <c r="A316" s="9" t="str">
        <f t="shared" si="7"/>
        <v>INDEC-PB - 41241-1</v>
      </c>
      <c r="B316" s="9">
        <v>41241</v>
      </c>
      <c r="C316" s="11" t="s">
        <v>46</v>
      </c>
      <c r="D316" s="9">
        <v>1</v>
      </c>
      <c r="E316" s="42" t="s">
        <v>379</v>
      </c>
    </row>
    <row r="317" spans="1:5" x14ac:dyDescent="0.2">
      <c r="A317" s="9" t="str">
        <f t="shared" si="7"/>
        <v>INDEC-PB - 44216-1</v>
      </c>
      <c r="B317" s="9">
        <v>44216</v>
      </c>
      <c r="C317" s="11" t="s">
        <v>46</v>
      </c>
      <c r="D317" s="9">
        <v>1</v>
      </c>
      <c r="E317" s="42" t="s">
        <v>380</v>
      </c>
    </row>
    <row r="318" spans="1:5" x14ac:dyDescent="0.2">
      <c r="A318" s="9" t="str">
        <f t="shared" si="7"/>
        <v>INDEC-PB - 15400-1</v>
      </c>
      <c r="B318" s="9">
        <v>15400</v>
      </c>
      <c r="C318" s="11" t="s">
        <v>46</v>
      </c>
      <c r="D318" s="9">
        <v>1</v>
      </c>
      <c r="E318" s="42" t="s">
        <v>381</v>
      </c>
    </row>
    <row r="319" spans="1:5" x14ac:dyDescent="0.2">
      <c r="A319" s="9" t="str">
        <f t="shared" si="7"/>
        <v>INDEC-PB - 15310-1</v>
      </c>
      <c r="B319" s="9">
        <v>15310</v>
      </c>
      <c r="C319" s="11" t="s">
        <v>46</v>
      </c>
      <c r="D319" s="9">
        <v>1</v>
      </c>
      <c r="E319" s="42" t="s">
        <v>382</v>
      </c>
    </row>
    <row r="320" spans="1:5" x14ac:dyDescent="0.2">
      <c r="A320" s="9" t="str">
        <f t="shared" si="7"/>
        <v>INDEC-PB - 37210-1</v>
      </c>
      <c r="B320" s="9">
        <v>37210</v>
      </c>
      <c r="C320" s="11" t="s">
        <v>46</v>
      </c>
      <c r="D320" s="9">
        <v>1</v>
      </c>
      <c r="E320" s="42" t="s">
        <v>383</v>
      </c>
    </row>
    <row r="321" spans="1:5" x14ac:dyDescent="0.2">
      <c r="A321" s="9" t="str">
        <f t="shared" si="7"/>
        <v>INDEC-PB - 37540-2</v>
      </c>
      <c r="B321" s="9">
        <v>37540</v>
      </c>
      <c r="C321" s="11" t="s">
        <v>46</v>
      </c>
      <c r="D321" s="9">
        <v>2</v>
      </c>
      <c r="E321" s="42" t="s">
        <v>384</v>
      </c>
    </row>
    <row r="322" spans="1:5" x14ac:dyDescent="0.2">
      <c r="A322" s="9" t="str">
        <f t="shared" si="7"/>
        <v>INDEC-PB - 49113-1</v>
      </c>
      <c r="B322" s="9">
        <v>49113</v>
      </c>
      <c r="C322" s="11" t="s">
        <v>46</v>
      </c>
      <c r="D322" s="9">
        <v>1</v>
      </c>
      <c r="E322" s="42" t="s">
        <v>385</v>
      </c>
    </row>
    <row r="323" spans="1:5" x14ac:dyDescent="0.2">
      <c r="A323" s="9" t="str">
        <f t="shared" si="7"/>
        <v>INDEC-PB - 36270-1</v>
      </c>
      <c r="B323" s="9">
        <v>36270</v>
      </c>
      <c r="C323" s="11" t="s">
        <v>46</v>
      </c>
      <c r="D323" s="9">
        <v>1</v>
      </c>
      <c r="E323" s="42" t="s">
        <v>386</v>
      </c>
    </row>
    <row r="324" spans="1:5" x14ac:dyDescent="0.2">
      <c r="A324" s="9" t="str">
        <f t="shared" si="7"/>
        <v>INDEC-PB - 46539-1</v>
      </c>
      <c r="B324" s="9">
        <v>46539</v>
      </c>
      <c r="C324" s="11" t="s">
        <v>46</v>
      </c>
      <c r="D324" s="9">
        <v>1</v>
      </c>
      <c r="E324" s="42" t="s">
        <v>387</v>
      </c>
    </row>
    <row r="325" spans="1:5" x14ac:dyDescent="0.2">
      <c r="A325" s="9" t="str">
        <f t="shared" si="7"/>
        <v>INDEC-PB - 37370-1</v>
      </c>
      <c r="B325" s="9">
        <v>37370</v>
      </c>
      <c r="C325" s="11" t="s">
        <v>46</v>
      </c>
      <c r="D325" s="9">
        <v>1</v>
      </c>
      <c r="E325" s="42" t="s">
        <v>388</v>
      </c>
    </row>
    <row r="326" spans="1:5" x14ac:dyDescent="0.2">
      <c r="A326" s="9" t="str">
        <f t="shared" si="7"/>
        <v>INDEC-PB - 35110-4</v>
      </c>
      <c r="B326" s="9">
        <v>35110</v>
      </c>
      <c r="C326" s="11" t="s">
        <v>46</v>
      </c>
      <c r="D326" s="9">
        <v>4</v>
      </c>
      <c r="E326" s="42" t="s">
        <v>389</v>
      </c>
    </row>
    <row r="327" spans="1:5" x14ac:dyDescent="0.2">
      <c r="A327" s="9" t="str">
        <f t="shared" si="7"/>
        <v>INDEC-PB - 41261-1</v>
      </c>
      <c r="B327" s="9">
        <v>41261</v>
      </c>
      <c r="C327" s="11" t="s">
        <v>46</v>
      </c>
      <c r="D327" s="9">
        <v>1</v>
      </c>
      <c r="E327" s="42" t="s">
        <v>390</v>
      </c>
    </row>
    <row r="328" spans="1:5" x14ac:dyDescent="0.2">
      <c r="A328" s="9" t="str">
        <f t="shared" si="7"/>
        <v>INDEC-PB - 36490-6</v>
      </c>
      <c r="B328" s="9">
        <v>36490</v>
      </c>
      <c r="C328" s="11" t="s">
        <v>46</v>
      </c>
      <c r="D328" s="9">
        <v>6</v>
      </c>
      <c r="E328" s="42" t="s">
        <v>391</v>
      </c>
    </row>
    <row r="329" spans="1:5" x14ac:dyDescent="0.2">
      <c r="A329" s="9" t="str">
        <f t="shared" si="7"/>
        <v>INDEC-PB - 42944-1</v>
      </c>
      <c r="B329" s="9">
        <v>42944</v>
      </c>
      <c r="C329" s="11" t="s">
        <v>46</v>
      </c>
      <c r="D329" s="9">
        <v>1</v>
      </c>
      <c r="E329" s="42" t="s">
        <v>392</v>
      </c>
    </row>
    <row r="330" spans="1:5" x14ac:dyDescent="0.2">
      <c r="A330" s="9" t="str">
        <f t="shared" si="7"/>
        <v>INDEC-PB - 42320-1</v>
      </c>
      <c r="B330" s="9">
        <v>42320</v>
      </c>
      <c r="C330" s="11" t="s">
        <v>46</v>
      </c>
      <c r="D330" s="9">
        <v>1</v>
      </c>
      <c r="E330" s="42" t="s">
        <v>393</v>
      </c>
    </row>
    <row r="331" spans="1:5" x14ac:dyDescent="0.2">
      <c r="A331" s="9" t="str">
        <f t="shared" si="7"/>
        <v>INDEC-PB - 37420-1</v>
      </c>
      <c r="B331" s="9">
        <v>37420</v>
      </c>
      <c r="C331" s="11" t="s">
        <v>46</v>
      </c>
      <c r="D331" s="9">
        <v>1</v>
      </c>
      <c r="E331" s="42" t="s">
        <v>394</v>
      </c>
    </row>
    <row r="332" spans="1:5" x14ac:dyDescent="0.2">
      <c r="A332" s="9" t="str">
        <f t="shared" si="7"/>
        <v>INDEC-PB - 49115-2</v>
      </c>
      <c r="B332" s="9">
        <v>49115</v>
      </c>
      <c r="C332" s="11" t="s">
        <v>46</v>
      </c>
      <c r="D332" s="9">
        <v>2</v>
      </c>
      <c r="E332" s="42" t="s">
        <v>395</v>
      </c>
    </row>
    <row r="333" spans="1:5" x14ac:dyDescent="0.2">
      <c r="A333" s="9" t="str">
        <f t="shared" si="7"/>
        <v>INDEC-PB - 36320-3</v>
      </c>
      <c r="B333" s="9">
        <v>36320</v>
      </c>
      <c r="C333" s="11" t="s">
        <v>46</v>
      </c>
      <c r="D333" s="9">
        <v>3</v>
      </c>
      <c r="E333" s="42" t="s">
        <v>396</v>
      </c>
    </row>
    <row r="334" spans="1:5" x14ac:dyDescent="0.2">
      <c r="A334" s="9" t="str">
        <f t="shared" si="7"/>
        <v>INDEC-PB - 36320-2</v>
      </c>
      <c r="B334" s="9">
        <v>36320</v>
      </c>
      <c r="C334" s="11" t="s">
        <v>46</v>
      </c>
      <c r="D334" s="9">
        <v>2</v>
      </c>
      <c r="E334" s="42" t="s">
        <v>397</v>
      </c>
    </row>
    <row r="335" spans="1:5" x14ac:dyDescent="0.2">
      <c r="A335" s="9" t="str">
        <f t="shared" si="7"/>
        <v>INDEC-PB - 36320-1</v>
      </c>
      <c r="B335" s="9">
        <v>36320</v>
      </c>
      <c r="C335" s="11" t="s">
        <v>46</v>
      </c>
      <c r="D335" s="9">
        <v>1</v>
      </c>
      <c r="E335" s="42" t="s">
        <v>398</v>
      </c>
    </row>
    <row r="336" spans="1:5" x14ac:dyDescent="0.2">
      <c r="A336" s="9" t="str">
        <f t="shared" si="7"/>
        <v>INDEC-PB - 46220-1</v>
      </c>
      <c r="B336" s="9">
        <v>46220</v>
      </c>
      <c r="C336" s="11" t="s">
        <v>46</v>
      </c>
      <c r="D336" s="9">
        <v>1</v>
      </c>
      <c r="E336" s="42" t="s">
        <v>399</v>
      </c>
    </row>
    <row r="337" spans="1:5" x14ac:dyDescent="0.2">
      <c r="A337" s="9" t="str">
        <f t="shared" si="7"/>
        <v>INDEC-PB - 34800-1</v>
      </c>
      <c r="B337" s="9">
        <v>34800</v>
      </c>
      <c r="C337" s="11" t="s">
        <v>46</v>
      </c>
      <c r="D337" s="9">
        <v>1</v>
      </c>
      <c r="E337" s="42" t="s">
        <v>400</v>
      </c>
    </row>
    <row r="338" spans="1:5" x14ac:dyDescent="0.2">
      <c r="A338" s="9" t="str">
        <f t="shared" ref="A338:A369" si="8">CONCATENATE("INDEC-PB - ",B338,C338,D338)</f>
        <v>INDEC-PB - 37440-1</v>
      </c>
      <c r="B338" s="9">
        <v>37440</v>
      </c>
      <c r="C338" s="11" t="s">
        <v>46</v>
      </c>
      <c r="D338" s="9">
        <v>1</v>
      </c>
      <c r="E338" s="42" t="s">
        <v>401</v>
      </c>
    </row>
    <row r="339" spans="1:5" x14ac:dyDescent="0.2">
      <c r="A339" s="9" t="str">
        <f t="shared" si="8"/>
        <v>INDEC-PB - 42992-1</v>
      </c>
      <c r="B339" s="9">
        <v>42992</v>
      </c>
      <c r="C339" s="11" t="s">
        <v>46</v>
      </c>
      <c r="D339" s="9">
        <v>1</v>
      </c>
      <c r="E339" s="42" t="s">
        <v>402</v>
      </c>
    </row>
    <row r="340" spans="1:5" x14ac:dyDescent="0.2">
      <c r="A340" s="9" t="str">
        <f t="shared" si="8"/>
        <v>INDEC-PB - 42999-2</v>
      </c>
      <c r="B340" s="9">
        <v>42999</v>
      </c>
      <c r="C340" s="11" t="s">
        <v>46</v>
      </c>
      <c r="D340" s="9">
        <v>2</v>
      </c>
      <c r="E340" s="42" t="s">
        <v>403</v>
      </c>
    </row>
    <row r="341" spans="1:5" x14ac:dyDescent="0.2">
      <c r="A341" s="9" t="str">
        <f t="shared" si="8"/>
        <v>INDEC-PB - 42944-2</v>
      </c>
      <c r="B341" s="9">
        <v>42944</v>
      </c>
      <c r="C341" s="11" t="s">
        <v>46</v>
      </c>
      <c r="D341" s="9">
        <v>2</v>
      </c>
      <c r="E341" s="42" t="s">
        <v>404</v>
      </c>
    </row>
    <row r="342" spans="1:5" x14ac:dyDescent="0.2">
      <c r="A342" s="9" t="str">
        <f t="shared" si="8"/>
        <v>INDEC-PB - 43230-1</v>
      </c>
      <c r="B342" s="9">
        <v>43230</v>
      </c>
      <c r="C342" s="11" t="s">
        <v>46</v>
      </c>
      <c r="D342" s="9">
        <v>1</v>
      </c>
      <c r="E342" s="42" t="s">
        <v>405</v>
      </c>
    </row>
    <row r="343" spans="1:5" x14ac:dyDescent="0.2">
      <c r="A343" s="9" t="str">
        <f t="shared" si="8"/>
        <v>INDEC-PB - 46340-1</v>
      </c>
      <c r="B343" s="9">
        <v>46340</v>
      </c>
      <c r="C343" s="11" t="s">
        <v>46</v>
      </c>
      <c r="D343" s="9">
        <v>1</v>
      </c>
      <c r="E343" s="42" t="s">
        <v>406</v>
      </c>
    </row>
    <row r="344" spans="1:5" x14ac:dyDescent="0.2">
      <c r="A344" s="9" t="str">
        <f t="shared" si="8"/>
        <v>INDEC-PB - 36270-2</v>
      </c>
      <c r="B344" s="9">
        <v>36270</v>
      </c>
      <c r="C344" s="11" t="s">
        <v>46</v>
      </c>
      <c r="D344" s="9">
        <v>2</v>
      </c>
      <c r="E344" s="42" t="s">
        <v>407</v>
      </c>
    </row>
    <row r="345" spans="1:5" x14ac:dyDescent="0.2">
      <c r="A345" s="9" t="str">
        <f t="shared" si="8"/>
        <v>INDEC-PB - 42190-2</v>
      </c>
      <c r="B345" s="9">
        <v>42190</v>
      </c>
      <c r="C345" s="11" t="s">
        <v>46</v>
      </c>
      <c r="D345" s="9">
        <v>2</v>
      </c>
      <c r="E345" s="42" t="s">
        <v>408</v>
      </c>
    </row>
    <row r="346" spans="1:5" x14ac:dyDescent="0.2">
      <c r="A346" s="9" t="str">
        <f t="shared" si="8"/>
        <v>INDEC-PB - 36990-2</v>
      </c>
      <c r="B346" s="9">
        <v>36990</v>
      </c>
      <c r="C346" s="11" t="s">
        <v>46</v>
      </c>
      <c r="D346" s="9">
        <v>2</v>
      </c>
      <c r="E346" s="42" t="s">
        <v>409</v>
      </c>
    </row>
    <row r="347" spans="1:5" x14ac:dyDescent="0.2">
      <c r="A347" s="9" t="str">
        <f t="shared" si="8"/>
        <v>INDEC-PB - 31600-1</v>
      </c>
      <c r="B347" s="9">
        <v>31600</v>
      </c>
      <c r="C347" s="11" t="s">
        <v>46</v>
      </c>
      <c r="D347" s="9">
        <v>1</v>
      </c>
      <c r="E347" s="42" t="s">
        <v>410</v>
      </c>
    </row>
    <row r="348" spans="1:5" x14ac:dyDescent="0.2">
      <c r="A348" s="9" t="str">
        <f t="shared" si="8"/>
        <v>INDEC-PB - 32600-1</v>
      </c>
      <c r="B348" s="9">
        <v>32600</v>
      </c>
      <c r="C348" s="11" t="s">
        <v>46</v>
      </c>
      <c r="D348" s="9">
        <v>1</v>
      </c>
      <c r="E348" s="42" t="s">
        <v>411</v>
      </c>
    </row>
    <row r="349" spans="1:5" x14ac:dyDescent="0.2">
      <c r="A349" s="9" t="str">
        <f t="shared" si="8"/>
        <v>INDEC-PB - 36111-3</v>
      </c>
      <c r="B349" s="9">
        <v>36111</v>
      </c>
      <c r="C349" s="11" t="s">
        <v>46</v>
      </c>
      <c r="D349" s="9">
        <v>3</v>
      </c>
      <c r="E349" s="42" t="s">
        <v>412</v>
      </c>
    </row>
    <row r="350" spans="1:5" x14ac:dyDescent="0.2">
      <c r="A350" s="9" t="str">
        <f t="shared" si="8"/>
        <v>INDEC-PB - 36111-2</v>
      </c>
      <c r="B350" s="9">
        <v>36111</v>
      </c>
      <c r="C350" s="11" t="s">
        <v>46</v>
      </c>
      <c r="D350" s="9">
        <v>2</v>
      </c>
      <c r="E350" s="42" t="s">
        <v>413</v>
      </c>
    </row>
    <row r="351" spans="1:5" x14ac:dyDescent="0.2">
      <c r="A351" s="9" t="str">
        <f t="shared" si="8"/>
        <v>INDEC-PB - 36111-1</v>
      </c>
      <c r="B351" s="9">
        <v>36111</v>
      </c>
      <c r="C351" s="11" t="s">
        <v>46</v>
      </c>
      <c r="D351" s="9">
        <v>1</v>
      </c>
      <c r="E351" s="42" t="s">
        <v>414</v>
      </c>
    </row>
    <row r="352" spans="1:5" x14ac:dyDescent="0.2">
      <c r="A352" s="9" t="str">
        <f t="shared" si="8"/>
        <v>INDEC-PB - 42921-1</v>
      </c>
      <c r="B352" s="9">
        <v>42921</v>
      </c>
      <c r="C352" s="11" t="s">
        <v>46</v>
      </c>
      <c r="D352" s="9">
        <v>1</v>
      </c>
      <c r="E352" s="42" t="s">
        <v>415</v>
      </c>
    </row>
    <row r="353" spans="1:5" x14ac:dyDescent="0.2">
      <c r="A353" s="9" t="str">
        <f t="shared" si="8"/>
        <v>INDEC-PB - 34800-2</v>
      </c>
      <c r="B353" s="9">
        <v>34800</v>
      </c>
      <c r="C353" s="11" t="s">
        <v>46</v>
      </c>
      <c r="D353" s="9">
        <v>2</v>
      </c>
      <c r="E353" s="42" t="s">
        <v>416</v>
      </c>
    </row>
    <row r="354" spans="1:5" x14ac:dyDescent="0.2">
      <c r="A354" s="9" t="str">
        <f t="shared" si="8"/>
        <v>INDEC-PB - 49129-1</v>
      </c>
      <c r="B354" s="9">
        <v>49129</v>
      </c>
      <c r="C354" s="11" t="s">
        <v>46</v>
      </c>
      <c r="D354" s="9">
        <v>1</v>
      </c>
      <c r="E354" s="42" t="s">
        <v>417</v>
      </c>
    </row>
    <row r="355" spans="1:5" x14ac:dyDescent="0.2">
      <c r="A355" s="9" t="str">
        <f t="shared" si="8"/>
        <v>INDEC-PB - 43220-1</v>
      </c>
      <c r="B355" s="9">
        <v>43220</v>
      </c>
      <c r="C355" s="11" t="s">
        <v>46</v>
      </c>
      <c r="D355" s="9">
        <v>1</v>
      </c>
      <c r="E355" s="42" t="s">
        <v>418</v>
      </c>
    </row>
    <row r="356" spans="1:5" x14ac:dyDescent="0.2">
      <c r="A356" s="9" t="str">
        <f t="shared" si="8"/>
        <v>INDEC-PB - 35110-1</v>
      </c>
      <c r="B356" s="9">
        <v>35110</v>
      </c>
      <c r="C356" s="11" t="s">
        <v>46</v>
      </c>
      <c r="D356" s="9">
        <v>1</v>
      </c>
      <c r="E356" s="42" t="s">
        <v>419</v>
      </c>
    </row>
    <row r="357" spans="1:5" x14ac:dyDescent="0.2">
      <c r="A357" s="9" t="str">
        <f t="shared" si="8"/>
        <v>INDEC-PB - 17100-1</v>
      </c>
      <c r="B357" s="9">
        <v>17100</v>
      </c>
      <c r="C357" s="11" t="s">
        <v>46</v>
      </c>
      <c r="D357" s="9">
        <v>1</v>
      </c>
      <c r="E357" s="42" t="s">
        <v>420</v>
      </c>
    </row>
    <row r="358" spans="1:5" x14ac:dyDescent="0.2">
      <c r="A358" s="9" t="str">
        <f t="shared" si="8"/>
        <v>INDEC-PB - 49129-3</v>
      </c>
      <c r="B358" s="9">
        <v>49129</v>
      </c>
      <c r="C358" s="11" t="s">
        <v>46</v>
      </c>
      <c r="D358" s="9">
        <v>3</v>
      </c>
      <c r="E358" s="42" t="s">
        <v>421</v>
      </c>
    </row>
    <row r="359" spans="1:5" x14ac:dyDescent="0.2">
      <c r="A359" s="9" t="str">
        <f t="shared" si="8"/>
        <v>INDEC-PB - 35110-2</v>
      </c>
      <c r="B359" s="9">
        <v>35110</v>
      </c>
      <c r="C359" s="11" t="s">
        <v>46</v>
      </c>
      <c r="D359" s="9">
        <v>2</v>
      </c>
      <c r="E359" s="42" t="s">
        <v>422</v>
      </c>
    </row>
    <row r="360" spans="1:5" x14ac:dyDescent="0.2">
      <c r="A360" s="9" t="str">
        <f t="shared" si="8"/>
        <v>INDEC-PB - 37129-1</v>
      </c>
      <c r="B360" s="9">
        <v>37129</v>
      </c>
      <c r="C360" s="11" t="s">
        <v>46</v>
      </c>
      <c r="D360" s="9">
        <v>1</v>
      </c>
      <c r="E360" s="42" t="s">
        <v>423</v>
      </c>
    </row>
    <row r="361" spans="1:5" x14ac:dyDescent="0.2">
      <c r="A361" s="9" t="str">
        <f t="shared" si="8"/>
        <v>INDEC-PB - 36490-4</v>
      </c>
      <c r="B361" s="9">
        <v>36490</v>
      </c>
      <c r="C361" s="11" t="s">
        <v>46</v>
      </c>
      <c r="D361" s="9">
        <v>4</v>
      </c>
      <c r="E361" s="42" t="s">
        <v>424</v>
      </c>
    </row>
    <row r="362" spans="1:5" x14ac:dyDescent="0.2">
      <c r="A362" s="9" t="str">
        <f t="shared" si="8"/>
        <v>INDEC-PB - 33370-1</v>
      </c>
      <c r="B362" s="9">
        <v>33370</v>
      </c>
      <c r="C362" s="11" t="s">
        <v>46</v>
      </c>
      <c r="D362" s="9">
        <v>1</v>
      </c>
      <c r="E362" s="42" t="s">
        <v>425</v>
      </c>
    </row>
    <row r="363" spans="1:5" x14ac:dyDescent="0.2">
      <c r="A363" s="9" t="str">
        <f t="shared" si="8"/>
        <v>INDEC-PB - 12020-1</v>
      </c>
      <c r="B363" s="9">
        <v>12020</v>
      </c>
      <c r="C363" s="11" t="s">
        <v>46</v>
      </c>
      <c r="D363" s="9">
        <v>1</v>
      </c>
      <c r="E363" s="42" t="s">
        <v>426</v>
      </c>
    </row>
    <row r="364" spans="1:5" x14ac:dyDescent="0.2">
      <c r="A364" s="9" t="str">
        <f t="shared" si="8"/>
        <v>INDEC-PB - 33360-1</v>
      </c>
      <c r="B364" s="9">
        <v>33360</v>
      </c>
      <c r="C364" s="11" t="s">
        <v>46</v>
      </c>
      <c r="D364" s="9">
        <v>1</v>
      </c>
      <c r="E364" s="42" t="s">
        <v>427</v>
      </c>
    </row>
    <row r="365" spans="1:5" x14ac:dyDescent="0.2">
      <c r="A365" s="9" t="str">
        <f t="shared" si="8"/>
        <v>INDEC-PB - 33410-1</v>
      </c>
      <c r="B365" s="9">
        <v>33410</v>
      </c>
      <c r="C365" s="11" t="s">
        <v>46</v>
      </c>
      <c r="D365" s="9">
        <v>1</v>
      </c>
      <c r="E365" s="42" t="s">
        <v>428</v>
      </c>
    </row>
    <row r="366" spans="1:5" x14ac:dyDescent="0.2">
      <c r="A366" s="9" t="str">
        <f t="shared" si="8"/>
        <v>INDEC-PB - 42911-1</v>
      </c>
      <c r="B366" s="9">
        <v>42911</v>
      </c>
      <c r="C366" s="11" t="s">
        <v>46</v>
      </c>
      <c r="D366" s="9">
        <v>1</v>
      </c>
      <c r="E366" s="42" t="s">
        <v>429</v>
      </c>
    </row>
    <row r="367" spans="1:5" x14ac:dyDescent="0.2">
      <c r="A367" s="9" t="str">
        <f t="shared" si="8"/>
        <v>INDEC-PB - 46113-1</v>
      </c>
      <c r="B367" s="9">
        <v>46113</v>
      </c>
      <c r="C367" s="11" t="s">
        <v>46</v>
      </c>
      <c r="D367" s="9">
        <v>1</v>
      </c>
      <c r="E367" s="42" t="s">
        <v>430</v>
      </c>
    </row>
    <row r="368" spans="1:5" x14ac:dyDescent="0.2">
      <c r="A368" s="9" t="str">
        <f t="shared" si="8"/>
        <v>INDEC-PB - 42921-2</v>
      </c>
      <c r="B368" s="9">
        <v>42921</v>
      </c>
      <c r="C368" s="11" t="s">
        <v>46</v>
      </c>
      <c r="D368" s="9">
        <v>2</v>
      </c>
      <c r="E368" s="42" t="s">
        <v>431</v>
      </c>
    </row>
    <row r="369" spans="1:5" x14ac:dyDescent="0.2">
      <c r="A369" s="9" t="str">
        <f t="shared" si="8"/>
        <v>INDEC-PB - 37990-1</v>
      </c>
      <c r="B369" s="9">
        <v>37990</v>
      </c>
      <c r="C369" s="11" t="s">
        <v>46</v>
      </c>
      <c r="D369" s="9">
        <v>1</v>
      </c>
      <c r="E369" s="42" t="s">
        <v>432</v>
      </c>
    </row>
    <row r="370" spans="1:5" x14ac:dyDescent="0.2">
      <c r="A370" s="9" t="str">
        <f t="shared" ref="A370:A401" si="9">CONCATENATE("INDEC-PB - ",B370,C370,D370)</f>
        <v>INDEC-PB - 41242-1</v>
      </c>
      <c r="B370" s="9">
        <v>41242</v>
      </c>
      <c r="C370" s="11" t="s">
        <v>46</v>
      </c>
      <c r="D370" s="9">
        <v>1</v>
      </c>
      <c r="E370" s="42" t="s">
        <v>433</v>
      </c>
    </row>
    <row r="371" spans="1:5" x14ac:dyDescent="0.2">
      <c r="A371" s="9" t="str">
        <f t="shared" si="9"/>
        <v>INDEC-PB - 37510-1</v>
      </c>
      <c r="B371" s="9">
        <v>37510</v>
      </c>
      <c r="C371" s="11" t="s">
        <v>46</v>
      </c>
      <c r="D371" s="9">
        <v>1</v>
      </c>
      <c r="E371" s="42" t="s">
        <v>434</v>
      </c>
    </row>
    <row r="372" spans="1:5" x14ac:dyDescent="0.2">
      <c r="A372" s="9" t="str">
        <f t="shared" si="9"/>
        <v>INDEC-PB - 44440-1</v>
      </c>
      <c r="B372" s="9">
        <v>44440</v>
      </c>
      <c r="C372" s="11" t="s">
        <v>46</v>
      </c>
      <c r="D372" s="9">
        <v>1</v>
      </c>
      <c r="E372" s="42" t="s">
        <v>435</v>
      </c>
    </row>
    <row r="373" spans="1:5" x14ac:dyDescent="0.2">
      <c r="A373" s="9" t="str">
        <f t="shared" si="9"/>
        <v>INDEC-PB - 35110-5</v>
      </c>
      <c r="B373" s="9">
        <v>35110</v>
      </c>
      <c r="C373" s="11" t="s">
        <v>46</v>
      </c>
      <c r="D373" s="9">
        <v>5</v>
      </c>
      <c r="E373" s="42" t="s">
        <v>436</v>
      </c>
    </row>
    <row r="374" spans="1:5" x14ac:dyDescent="0.2">
      <c r="A374" s="9" t="str">
        <f t="shared" si="9"/>
        <v>INDEC-PB - 46212-1</v>
      </c>
      <c r="B374" s="9">
        <v>46212</v>
      </c>
      <c r="C374" s="11" t="s">
        <v>46</v>
      </c>
      <c r="D374" s="9">
        <v>1</v>
      </c>
      <c r="E374" s="42" t="s">
        <v>437</v>
      </c>
    </row>
    <row r="375" spans="1:5" x14ac:dyDescent="0.2">
      <c r="A375" s="9" t="str">
        <f t="shared" si="9"/>
        <v>INDEC-PB - 33340-1</v>
      </c>
      <c r="B375" s="9">
        <v>33340</v>
      </c>
      <c r="C375" s="11" t="s">
        <v>46</v>
      </c>
      <c r="D375" s="9">
        <v>1</v>
      </c>
      <c r="E375" s="42" t="s">
        <v>438</v>
      </c>
    </row>
    <row r="376" spans="1:5" x14ac:dyDescent="0.2">
      <c r="A376" s="9" t="str">
        <f t="shared" si="9"/>
        <v>INDEC-PB - 37350-1</v>
      </c>
      <c r="B376" s="9">
        <v>37350</v>
      </c>
      <c r="C376" s="11" t="s">
        <v>46</v>
      </c>
      <c r="D376" s="9">
        <v>1</v>
      </c>
      <c r="E376" s="42" t="s">
        <v>439</v>
      </c>
    </row>
    <row r="377" spans="1:5" x14ac:dyDescent="0.2">
      <c r="A377" s="9" t="str">
        <f t="shared" si="9"/>
        <v>INDEC-PB - 37320-1</v>
      </c>
      <c r="B377" s="9">
        <v>37320</v>
      </c>
      <c r="C377" s="11" t="s">
        <v>46</v>
      </c>
      <c r="D377" s="9">
        <v>1</v>
      </c>
      <c r="E377" s="42" t="s">
        <v>440</v>
      </c>
    </row>
    <row r="378" spans="1:5" x14ac:dyDescent="0.2">
      <c r="A378" s="9" t="str">
        <f t="shared" si="9"/>
        <v>INDEC-PB - 41532-11</v>
      </c>
      <c r="B378" s="9">
        <v>41532</v>
      </c>
      <c r="C378" s="11" t="s">
        <v>46</v>
      </c>
      <c r="D378" s="9">
        <v>11</v>
      </c>
      <c r="E378" s="42" t="s">
        <v>441</v>
      </c>
    </row>
    <row r="379" spans="1:5" x14ac:dyDescent="0.2">
      <c r="A379" s="9" t="str">
        <f t="shared" si="9"/>
        <v>INDEC-PB - 41532-1</v>
      </c>
      <c r="B379" s="9">
        <v>41532</v>
      </c>
      <c r="C379" s="11" t="s">
        <v>46</v>
      </c>
      <c r="D379" s="9">
        <v>1</v>
      </c>
      <c r="E379" s="42" t="s">
        <v>442</v>
      </c>
    </row>
    <row r="380" spans="1:5" x14ac:dyDescent="0.2">
      <c r="A380" s="9" t="str">
        <f t="shared" si="9"/>
        <v>INDEC-PB - 31430-1</v>
      </c>
      <c r="B380" s="9">
        <v>31430</v>
      </c>
      <c r="C380" s="11" t="s">
        <v>46</v>
      </c>
      <c r="D380" s="9">
        <v>1</v>
      </c>
      <c r="E380" s="42" t="s">
        <v>443</v>
      </c>
    </row>
    <row r="381" spans="1:5" x14ac:dyDescent="0.2">
      <c r="A381" s="9" t="str">
        <f t="shared" si="9"/>
        <v>INDEC-PB - 31100-1</v>
      </c>
      <c r="B381" s="9">
        <v>31100</v>
      </c>
      <c r="C381" s="11" t="s">
        <v>46</v>
      </c>
      <c r="D381" s="9">
        <v>1</v>
      </c>
      <c r="E381" s="42" t="s">
        <v>444</v>
      </c>
    </row>
    <row r="382" spans="1:5" x14ac:dyDescent="0.2">
      <c r="A382" s="9" t="str">
        <f t="shared" si="9"/>
        <v>INDEC-PB - 31420-1</v>
      </c>
      <c r="B382" s="9">
        <v>31420</v>
      </c>
      <c r="C382" s="11" t="s">
        <v>46</v>
      </c>
      <c r="D382" s="9">
        <v>1</v>
      </c>
      <c r="E382" s="42" t="s">
        <v>445</v>
      </c>
    </row>
    <row r="383" spans="1:5" x14ac:dyDescent="0.2">
      <c r="A383" s="9" t="str">
        <f t="shared" si="9"/>
        <v>INDEC-PB - 31420-2</v>
      </c>
      <c r="B383" s="9">
        <v>31420</v>
      </c>
      <c r="C383" s="11" t="s">
        <v>46</v>
      </c>
      <c r="D383" s="9">
        <v>2</v>
      </c>
      <c r="E383" s="42" t="s">
        <v>446</v>
      </c>
    </row>
    <row r="384" spans="1:5" x14ac:dyDescent="0.2">
      <c r="A384" s="9" t="str">
        <f t="shared" si="9"/>
        <v>INDEC-PB - 44222-1</v>
      </c>
      <c r="B384" s="9">
        <v>44222</v>
      </c>
      <c r="C384" s="11" t="s">
        <v>46</v>
      </c>
      <c r="D384" s="9">
        <v>1</v>
      </c>
      <c r="E384" s="42" t="s">
        <v>447</v>
      </c>
    </row>
    <row r="385" spans="1:5" x14ac:dyDescent="0.2">
      <c r="A385" s="9" t="str">
        <f t="shared" si="9"/>
        <v>INDEC-PB - 44427-1</v>
      </c>
      <c r="B385" s="9">
        <v>44427</v>
      </c>
      <c r="C385" s="11" t="s">
        <v>46</v>
      </c>
      <c r="D385" s="9">
        <v>1</v>
      </c>
      <c r="E385" s="42" t="s">
        <v>448</v>
      </c>
    </row>
    <row r="386" spans="1:5" x14ac:dyDescent="0.2">
      <c r="A386" s="9" t="str">
        <f t="shared" si="9"/>
        <v>INDEC-PB - 44430-1</v>
      </c>
      <c r="B386" s="9">
        <v>44430</v>
      </c>
      <c r="C386" s="11" t="s">
        <v>46</v>
      </c>
      <c r="D386" s="9">
        <v>1</v>
      </c>
      <c r="E386" s="42" t="s">
        <v>449</v>
      </c>
    </row>
    <row r="387" spans="1:5" x14ac:dyDescent="0.2">
      <c r="A387" s="9" t="str">
        <f t="shared" si="9"/>
        <v>INDEC-PB - 37930-1</v>
      </c>
      <c r="B387" s="9">
        <v>37930</v>
      </c>
      <c r="C387" s="11" t="s">
        <v>46</v>
      </c>
      <c r="D387" s="9">
        <v>1</v>
      </c>
      <c r="E387" s="42" t="s">
        <v>450</v>
      </c>
    </row>
    <row r="388" spans="1:5" x14ac:dyDescent="0.2">
      <c r="A388" s="9" t="str">
        <f t="shared" si="9"/>
        <v>INDEC-PB - 37330-1</v>
      </c>
      <c r="B388" s="9">
        <v>37330</v>
      </c>
      <c r="C388" s="11" t="s">
        <v>46</v>
      </c>
      <c r="D388" s="9">
        <v>1</v>
      </c>
      <c r="E388" s="42" t="s">
        <v>451</v>
      </c>
    </row>
    <row r="389" spans="1:5" x14ac:dyDescent="0.2">
      <c r="A389" s="9" t="str">
        <f t="shared" si="9"/>
        <v>INDEC-PB - 37540-1</v>
      </c>
      <c r="B389" s="9">
        <v>37540</v>
      </c>
      <c r="C389" s="11" t="s">
        <v>46</v>
      </c>
      <c r="D389" s="9">
        <v>1</v>
      </c>
      <c r="E389" s="42" t="s">
        <v>452</v>
      </c>
    </row>
    <row r="390" spans="1:5" x14ac:dyDescent="0.2">
      <c r="A390" s="9" t="str">
        <f t="shared" si="9"/>
        <v>INDEC-PB - 43121-1</v>
      </c>
      <c r="B390" s="9">
        <v>43121</v>
      </c>
      <c r="C390" s="11" t="s">
        <v>46</v>
      </c>
      <c r="D390" s="9">
        <v>1</v>
      </c>
      <c r="E390" s="42" t="s">
        <v>453</v>
      </c>
    </row>
    <row r="391" spans="1:5" x14ac:dyDescent="0.2">
      <c r="A391" s="9" t="str">
        <f t="shared" si="9"/>
        <v>INDEC-PB - 46112-1</v>
      </c>
      <c r="B391" s="9">
        <v>46112</v>
      </c>
      <c r="C391" s="11" t="s">
        <v>46</v>
      </c>
      <c r="D391" s="9">
        <v>1</v>
      </c>
      <c r="E391" s="42" t="s">
        <v>454</v>
      </c>
    </row>
    <row r="392" spans="1:5" x14ac:dyDescent="0.2">
      <c r="A392" s="9" t="str">
        <f t="shared" si="9"/>
        <v>INDEC-PB - 43122-1</v>
      </c>
      <c r="B392" s="9">
        <v>43122</v>
      </c>
      <c r="C392" s="11" t="s">
        <v>46</v>
      </c>
      <c r="D392" s="9">
        <v>1</v>
      </c>
      <c r="E392" s="42" t="s">
        <v>455</v>
      </c>
    </row>
    <row r="393" spans="1:5" x14ac:dyDescent="0.2">
      <c r="A393" s="9" t="str">
        <f t="shared" si="9"/>
        <v>INDEC-PB - 49911-1</v>
      </c>
      <c r="B393" s="9">
        <v>49911</v>
      </c>
      <c r="C393" s="11" t="s">
        <v>46</v>
      </c>
      <c r="D393" s="9">
        <v>1</v>
      </c>
      <c r="E393" s="42" t="s">
        <v>456</v>
      </c>
    </row>
    <row r="394" spans="1:5" x14ac:dyDescent="0.2">
      <c r="A394" s="9" t="str">
        <f t="shared" si="9"/>
        <v>INDEC-PB - 33310-1</v>
      </c>
      <c r="B394" s="9">
        <v>33310</v>
      </c>
      <c r="C394" s="11" t="s">
        <v>46</v>
      </c>
      <c r="D394" s="9">
        <v>1</v>
      </c>
      <c r="E394" s="42" t="s">
        <v>457</v>
      </c>
    </row>
    <row r="395" spans="1:5" x14ac:dyDescent="0.2">
      <c r="A395" s="9" t="str">
        <f t="shared" si="9"/>
        <v>INDEC-PB - 32129-1</v>
      </c>
      <c r="B395" s="9">
        <v>32129</v>
      </c>
      <c r="C395" s="11" t="s">
        <v>46</v>
      </c>
      <c r="D395" s="9">
        <v>1</v>
      </c>
      <c r="E395" s="42" t="s">
        <v>458</v>
      </c>
    </row>
    <row r="396" spans="1:5" x14ac:dyDescent="0.2">
      <c r="A396" s="9" t="str">
        <f t="shared" si="9"/>
        <v>INDEC-PB - 37990-2</v>
      </c>
      <c r="B396" s="9">
        <v>37990</v>
      </c>
      <c r="C396" s="11" t="s">
        <v>46</v>
      </c>
      <c r="D396" s="9">
        <v>2</v>
      </c>
      <c r="E396" s="42" t="s">
        <v>459</v>
      </c>
    </row>
    <row r="397" spans="1:5" x14ac:dyDescent="0.2">
      <c r="A397" s="9" t="str">
        <f t="shared" si="9"/>
        <v>INDEC-PB - 41251-1</v>
      </c>
      <c r="B397" s="9">
        <v>41251</v>
      </c>
      <c r="C397" s="11" t="s">
        <v>46</v>
      </c>
      <c r="D397" s="9">
        <v>1</v>
      </c>
      <c r="E397" s="42" t="s">
        <v>460</v>
      </c>
    </row>
    <row r="398" spans="1:5" x14ac:dyDescent="0.2">
      <c r="A398" s="9" t="str">
        <f t="shared" si="9"/>
        <v>INDEC-PB - 12010-1</v>
      </c>
      <c r="B398" s="9">
        <v>12010</v>
      </c>
      <c r="C398" s="11" t="s">
        <v>46</v>
      </c>
      <c r="D398" s="9">
        <v>1</v>
      </c>
      <c r="E398" s="42" t="s">
        <v>461</v>
      </c>
    </row>
    <row r="399" spans="1:5" x14ac:dyDescent="0.2">
      <c r="A399" s="9" t="str">
        <f t="shared" si="9"/>
        <v>INDEC-PB - 15320-1</v>
      </c>
      <c r="B399" s="9">
        <v>15320</v>
      </c>
      <c r="C399" s="11" t="s">
        <v>46</v>
      </c>
      <c r="D399" s="9">
        <v>1</v>
      </c>
      <c r="E399" s="42" t="s">
        <v>462</v>
      </c>
    </row>
    <row r="400" spans="1:5" x14ac:dyDescent="0.2">
      <c r="A400" s="9" t="str">
        <f t="shared" si="9"/>
        <v>INDEC-PB - 41116-1</v>
      </c>
      <c r="B400" s="9">
        <v>41116</v>
      </c>
      <c r="C400" s="11" t="s">
        <v>46</v>
      </c>
      <c r="D400" s="9">
        <v>1</v>
      </c>
      <c r="E400" s="42" t="s">
        <v>463</v>
      </c>
    </row>
    <row r="401" spans="1:5" x14ac:dyDescent="0.2">
      <c r="A401" s="9" t="str">
        <f t="shared" si="9"/>
        <v>INDEC-PB - 42999-1</v>
      </c>
      <c r="B401" s="9">
        <v>42999</v>
      </c>
      <c r="C401" s="11" t="s">
        <v>46</v>
      </c>
      <c r="D401" s="9">
        <v>1</v>
      </c>
      <c r="E401" s="42" t="s">
        <v>464</v>
      </c>
    </row>
    <row r="402" spans="1:5" x14ac:dyDescent="0.2">
      <c r="A402" s="9" t="str">
        <f t="shared" ref="A402:A425" si="10">CONCATENATE("INDEC-PB - ",B402,C402,D402)</f>
        <v>INDEC-PB - 35110-3</v>
      </c>
      <c r="B402" s="9">
        <v>35110</v>
      </c>
      <c r="C402" s="11" t="s">
        <v>46</v>
      </c>
      <c r="D402" s="9">
        <v>3</v>
      </c>
      <c r="E402" s="42" t="s">
        <v>465</v>
      </c>
    </row>
    <row r="403" spans="1:5" x14ac:dyDescent="0.2">
      <c r="A403" s="9" t="str">
        <f t="shared" si="10"/>
        <v>INDEC-PB - 34740-6</v>
      </c>
      <c r="B403" s="9">
        <v>34740</v>
      </c>
      <c r="C403" s="11" t="s">
        <v>46</v>
      </c>
      <c r="D403" s="9">
        <v>6</v>
      </c>
      <c r="E403" s="42" t="s">
        <v>466</v>
      </c>
    </row>
    <row r="404" spans="1:5" x14ac:dyDescent="0.2">
      <c r="A404" s="9" t="str">
        <f t="shared" si="10"/>
        <v>INDEC-PB - 34730-1</v>
      </c>
      <c r="B404" s="9">
        <v>34730</v>
      </c>
      <c r="C404" s="11" t="s">
        <v>46</v>
      </c>
      <c r="D404" s="9">
        <v>1</v>
      </c>
      <c r="E404" s="42" t="s">
        <v>467</v>
      </c>
    </row>
    <row r="405" spans="1:5" x14ac:dyDescent="0.2">
      <c r="A405" s="9" t="str">
        <f t="shared" si="10"/>
        <v>INDEC-PB - 34720-1</v>
      </c>
      <c r="B405" s="9">
        <v>34720</v>
      </c>
      <c r="C405" s="11" t="s">
        <v>46</v>
      </c>
      <c r="D405" s="9">
        <v>1</v>
      </c>
      <c r="E405" s="42" t="s">
        <v>468</v>
      </c>
    </row>
    <row r="406" spans="1:5" x14ac:dyDescent="0.2">
      <c r="A406" s="9" t="str">
        <f t="shared" si="10"/>
        <v>INDEC-PB - 34710-1</v>
      </c>
      <c r="B406" s="9">
        <v>34710</v>
      </c>
      <c r="C406" s="11" t="s">
        <v>46</v>
      </c>
      <c r="D406" s="9">
        <v>1</v>
      </c>
      <c r="E406" s="42" t="s">
        <v>469</v>
      </c>
    </row>
    <row r="407" spans="1:5" x14ac:dyDescent="0.2">
      <c r="A407" s="9" t="str">
        <f t="shared" si="10"/>
        <v>INDEC-PB - 41530-1</v>
      </c>
      <c r="B407" s="9">
        <v>41530</v>
      </c>
      <c r="C407" s="11" t="s">
        <v>46</v>
      </c>
      <c r="D407" s="9">
        <v>1</v>
      </c>
      <c r="E407" s="42" t="s">
        <v>470</v>
      </c>
    </row>
    <row r="408" spans="1:5" x14ac:dyDescent="0.2">
      <c r="A408" s="9" t="str">
        <f t="shared" si="10"/>
        <v>INDEC-PB - 41510-1</v>
      </c>
      <c r="B408" s="9">
        <v>41510</v>
      </c>
      <c r="C408" s="11" t="s">
        <v>46</v>
      </c>
      <c r="D408" s="9">
        <v>1</v>
      </c>
      <c r="E408" s="42" t="s">
        <v>471</v>
      </c>
    </row>
    <row r="409" spans="1:5" x14ac:dyDescent="0.2">
      <c r="A409" s="9" t="str">
        <f t="shared" si="10"/>
        <v>INDEC-PB - 31600-2</v>
      </c>
      <c r="B409" s="9">
        <v>31600</v>
      </c>
      <c r="C409" s="11" t="s">
        <v>46</v>
      </c>
      <c r="D409" s="9">
        <v>2</v>
      </c>
      <c r="E409" s="42" t="s">
        <v>472</v>
      </c>
    </row>
    <row r="410" spans="1:5" x14ac:dyDescent="0.2">
      <c r="A410" s="9" t="str">
        <f t="shared" si="10"/>
        <v>INDEC-PB - 49129-2</v>
      </c>
      <c r="B410" s="9">
        <v>49129</v>
      </c>
      <c r="C410" s="11" t="s">
        <v>46</v>
      </c>
      <c r="D410" s="9">
        <v>2</v>
      </c>
      <c r="E410" s="42" t="s">
        <v>473</v>
      </c>
    </row>
    <row r="411" spans="1:5" x14ac:dyDescent="0.2">
      <c r="A411" s="9" t="str">
        <f t="shared" si="10"/>
        <v>INDEC-PB - 34740-1</v>
      </c>
      <c r="B411" s="9">
        <v>34740</v>
      </c>
      <c r="C411" s="11" t="s">
        <v>46</v>
      </c>
      <c r="D411" s="9">
        <v>1</v>
      </c>
      <c r="E411" s="42" t="s">
        <v>474</v>
      </c>
    </row>
    <row r="412" spans="1:5" x14ac:dyDescent="0.2">
      <c r="A412" s="9" t="str">
        <f t="shared" si="10"/>
        <v>INDEC-PB - 43310-1</v>
      </c>
      <c r="B412" s="9">
        <v>43310</v>
      </c>
      <c r="C412" s="11" t="s">
        <v>46</v>
      </c>
      <c r="D412" s="9">
        <v>1</v>
      </c>
      <c r="E412" s="42" t="s">
        <v>475</v>
      </c>
    </row>
    <row r="413" spans="1:5" x14ac:dyDescent="0.2">
      <c r="A413" s="9" t="str">
        <f t="shared" si="10"/>
        <v>INDEC-PB - 44240-1</v>
      </c>
      <c r="B413" s="9">
        <v>44240</v>
      </c>
      <c r="C413" s="11" t="s">
        <v>46</v>
      </c>
      <c r="D413" s="9">
        <v>1</v>
      </c>
      <c r="E413" s="42" t="s">
        <v>476</v>
      </c>
    </row>
    <row r="414" spans="1:5" x14ac:dyDescent="0.2">
      <c r="A414" s="9" t="str">
        <f t="shared" si="10"/>
        <v>INDEC-PB - 33500-1</v>
      </c>
      <c r="B414" s="9">
        <v>33500</v>
      </c>
      <c r="C414" s="11" t="s">
        <v>46</v>
      </c>
      <c r="D414" s="9">
        <v>1</v>
      </c>
      <c r="E414" s="42" t="s">
        <v>477</v>
      </c>
    </row>
    <row r="415" spans="1:5" x14ac:dyDescent="0.2">
      <c r="A415" s="9" t="str">
        <f t="shared" si="10"/>
        <v>INDEC-PB - 44214-1</v>
      </c>
      <c r="B415" s="9">
        <v>44214</v>
      </c>
      <c r="C415" s="11" t="s">
        <v>46</v>
      </c>
      <c r="D415" s="9">
        <v>1</v>
      </c>
      <c r="E415" s="42" t="s">
        <v>478</v>
      </c>
    </row>
    <row r="416" spans="1:5" x14ac:dyDescent="0.2">
      <c r="A416" s="9" t="str">
        <f t="shared" si="10"/>
        <v>INDEC-PB - 37350-2</v>
      </c>
      <c r="B416" s="9">
        <v>37350</v>
      </c>
      <c r="C416" s="11" t="s">
        <v>46</v>
      </c>
      <c r="D416" s="9">
        <v>2</v>
      </c>
      <c r="E416" s="42" t="s">
        <v>479</v>
      </c>
    </row>
    <row r="417" spans="1:5" x14ac:dyDescent="0.2">
      <c r="A417" s="9" t="str">
        <f t="shared" si="10"/>
        <v>INDEC-PB - 42943-1</v>
      </c>
      <c r="B417" s="9">
        <v>42943</v>
      </c>
      <c r="C417" s="11" t="s">
        <v>46</v>
      </c>
      <c r="D417" s="9">
        <v>1</v>
      </c>
      <c r="E417" s="42" t="s">
        <v>480</v>
      </c>
    </row>
    <row r="418" spans="1:5" x14ac:dyDescent="0.2">
      <c r="A418" s="9" t="str">
        <f t="shared" si="10"/>
        <v>INDEC-PB - 36990-1</v>
      </c>
      <c r="B418" s="9">
        <v>36990</v>
      </c>
      <c r="C418" s="11" t="s">
        <v>46</v>
      </c>
      <c r="D418" s="9">
        <v>1</v>
      </c>
      <c r="E418" s="42" t="s">
        <v>481</v>
      </c>
    </row>
    <row r="419" spans="1:5" x14ac:dyDescent="0.2">
      <c r="A419" s="9" t="str">
        <f t="shared" si="10"/>
        <v>INDEC-PB - 46121-1</v>
      </c>
      <c r="B419" s="9">
        <v>46121</v>
      </c>
      <c r="C419" s="11" t="s">
        <v>46</v>
      </c>
      <c r="D419" s="9">
        <v>1</v>
      </c>
      <c r="E419" s="42" t="s">
        <v>482</v>
      </c>
    </row>
    <row r="420" spans="1:5" x14ac:dyDescent="0.2">
      <c r="A420" s="9" t="str">
        <f t="shared" si="10"/>
        <v>INDEC-PB - 49115-1</v>
      </c>
      <c r="B420" s="9">
        <v>49115</v>
      </c>
      <c r="C420" s="11" t="s">
        <v>46</v>
      </c>
      <c r="D420" s="9">
        <v>1</v>
      </c>
      <c r="E420" s="42" t="s">
        <v>483</v>
      </c>
    </row>
    <row r="421" spans="1:5" x14ac:dyDescent="0.2">
      <c r="A421" s="9" t="str">
        <f t="shared" si="10"/>
        <v>INDEC-PB - 37113-1</v>
      </c>
      <c r="B421" s="9">
        <v>37113</v>
      </c>
      <c r="C421" s="11" t="s">
        <v>46</v>
      </c>
      <c r="D421" s="9">
        <v>1</v>
      </c>
      <c r="E421" s="42" t="s">
        <v>484</v>
      </c>
    </row>
    <row r="422" spans="1:5" x14ac:dyDescent="0.2">
      <c r="A422" s="9" t="str">
        <f t="shared" si="10"/>
        <v>INDEC-PB - 37199-3</v>
      </c>
      <c r="B422" s="9">
        <v>37199</v>
      </c>
      <c r="C422" s="11" t="s">
        <v>46</v>
      </c>
      <c r="D422" s="9">
        <v>3</v>
      </c>
      <c r="E422" s="42" t="s">
        <v>485</v>
      </c>
    </row>
    <row r="423" spans="1:5" x14ac:dyDescent="0.2">
      <c r="A423" s="9" t="str">
        <f t="shared" si="10"/>
        <v>INDEC-PB - 37199-1</v>
      </c>
      <c r="B423" s="9">
        <v>37199</v>
      </c>
      <c r="C423" s="11" t="s">
        <v>46</v>
      </c>
      <c r="D423" s="9">
        <v>1</v>
      </c>
      <c r="E423" s="42" t="s">
        <v>486</v>
      </c>
    </row>
    <row r="424" spans="1:5" x14ac:dyDescent="0.2">
      <c r="A424" s="9" t="str">
        <f t="shared" si="10"/>
        <v>INDEC-PB - 37199-2</v>
      </c>
      <c r="B424" s="9">
        <v>37199</v>
      </c>
      <c r="C424" s="11" t="s">
        <v>46</v>
      </c>
      <c r="D424" s="9">
        <v>2</v>
      </c>
      <c r="E424" s="42" t="s">
        <v>487</v>
      </c>
    </row>
    <row r="425" spans="1:5" x14ac:dyDescent="0.2">
      <c r="A425" s="9" t="str">
        <f t="shared" si="10"/>
        <v>INDEC-PB - 15200-1</v>
      </c>
      <c r="B425" s="9">
        <v>15200</v>
      </c>
      <c r="C425" s="11" t="s">
        <v>46</v>
      </c>
      <c r="D425" s="9">
        <v>1</v>
      </c>
      <c r="E425" s="42" t="s">
        <v>488</v>
      </c>
    </row>
    <row r="426" spans="1:5" x14ac:dyDescent="0.2">
      <c r="A426" s="43"/>
      <c r="E426" s="44"/>
    </row>
    <row r="427" spans="1:5" x14ac:dyDescent="0.2">
      <c r="A427" s="45"/>
      <c r="E427" s="44" t="s">
        <v>489</v>
      </c>
    </row>
    <row r="428" spans="1:5" x14ac:dyDescent="0.2">
      <c r="A428" s="9" t="str">
        <f t="shared" ref="A428:A445" si="11">CONCATENATE("INDEC-PB - ",B428,C428,D428)</f>
        <v>INDEC-PB - 94920-1</v>
      </c>
      <c r="B428" s="11">
        <v>94920</v>
      </c>
      <c r="C428" s="11" t="s">
        <v>46</v>
      </c>
      <c r="D428" s="9">
        <v>1</v>
      </c>
      <c r="E428" s="42" t="s">
        <v>490</v>
      </c>
    </row>
    <row r="429" spans="1:5" x14ac:dyDescent="0.2">
      <c r="A429" s="9" t="str">
        <f t="shared" si="11"/>
        <v>INDEC-PB - 91223-1</v>
      </c>
      <c r="B429" s="11">
        <v>91223</v>
      </c>
      <c r="C429" s="11" t="s">
        <v>46</v>
      </c>
      <c r="D429" s="9">
        <v>1</v>
      </c>
      <c r="E429" s="42" t="s">
        <v>491</v>
      </c>
    </row>
    <row r="430" spans="1:5" x14ac:dyDescent="0.2">
      <c r="A430" s="9" t="str">
        <f t="shared" si="11"/>
        <v>INDEC-PB - 91211-11</v>
      </c>
      <c r="B430" s="11">
        <v>91211</v>
      </c>
      <c r="C430" s="11" t="s">
        <v>46</v>
      </c>
      <c r="D430" s="9">
        <v>11</v>
      </c>
      <c r="E430" s="42" t="s">
        <v>492</v>
      </c>
    </row>
    <row r="431" spans="1:5" x14ac:dyDescent="0.2">
      <c r="A431" s="9" t="str">
        <f t="shared" si="11"/>
        <v>INDEC-PB - 91211-1</v>
      </c>
      <c r="B431" s="11">
        <v>91211</v>
      </c>
      <c r="C431" s="11" t="s">
        <v>46</v>
      </c>
      <c r="D431" s="9">
        <v>1</v>
      </c>
      <c r="E431" s="42" t="s">
        <v>493</v>
      </c>
    </row>
    <row r="432" spans="1:5" x14ac:dyDescent="0.2">
      <c r="A432" s="9" t="str">
        <f t="shared" si="11"/>
        <v>INDEC-PB - 91511-1</v>
      </c>
      <c r="B432" s="11">
        <v>91511</v>
      </c>
      <c r="C432" s="11" t="s">
        <v>46</v>
      </c>
      <c r="D432" s="9">
        <v>1</v>
      </c>
      <c r="E432" s="42" t="s">
        <v>494</v>
      </c>
    </row>
    <row r="433" spans="1:5" x14ac:dyDescent="0.2">
      <c r="A433" s="9" t="str">
        <f t="shared" si="11"/>
        <v>INDEC-PB - 91547-1</v>
      </c>
      <c r="B433" s="11">
        <v>91547</v>
      </c>
      <c r="C433" s="11" t="s">
        <v>46</v>
      </c>
      <c r="D433" s="9">
        <v>1</v>
      </c>
      <c r="E433" s="42" t="s">
        <v>495</v>
      </c>
    </row>
    <row r="434" spans="1:5" x14ac:dyDescent="0.2">
      <c r="A434" s="9" t="str">
        <f t="shared" si="11"/>
        <v>INDEC-PB - 81100-1</v>
      </c>
      <c r="B434" s="11">
        <v>81100</v>
      </c>
      <c r="C434" s="11" t="s">
        <v>46</v>
      </c>
      <c r="D434" s="9">
        <v>1</v>
      </c>
      <c r="E434" s="42" t="s">
        <v>496</v>
      </c>
    </row>
    <row r="435" spans="1:5" x14ac:dyDescent="0.2">
      <c r="A435" s="9" t="str">
        <f t="shared" si="11"/>
        <v>INDEC-PB - 91601-2</v>
      </c>
      <c r="B435" s="11">
        <v>91601</v>
      </c>
      <c r="C435" s="11" t="s">
        <v>46</v>
      </c>
      <c r="D435" s="9">
        <v>2</v>
      </c>
      <c r="E435" s="42" t="s">
        <v>497</v>
      </c>
    </row>
    <row r="436" spans="1:5" x14ac:dyDescent="0.2">
      <c r="A436" s="9" t="str">
        <f t="shared" si="11"/>
        <v>INDEC-PB - 94214-1</v>
      </c>
      <c r="B436" s="11">
        <v>94214</v>
      </c>
      <c r="C436" s="11" t="s">
        <v>46</v>
      </c>
      <c r="D436" s="9">
        <v>1</v>
      </c>
      <c r="E436" s="42" t="s">
        <v>498</v>
      </c>
    </row>
    <row r="437" spans="1:5" x14ac:dyDescent="0.2">
      <c r="A437" s="9" t="str">
        <f t="shared" si="11"/>
        <v>INDEC-PB - 94216-1</v>
      </c>
      <c r="B437" s="11">
        <v>94216</v>
      </c>
      <c r="C437" s="11" t="s">
        <v>46</v>
      </c>
      <c r="D437" s="9">
        <v>1</v>
      </c>
      <c r="E437" s="42" t="s">
        <v>499</v>
      </c>
    </row>
    <row r="438" spans="1:5" x14ac:dyDescent="0.2">
      <c r="A438" s="9" t="str">
        <f t="shared" si="11"/>
        <v>INDEC-PB - 93310-2</v>
      </c>
      <c r="B438" s="11">
        <v>93310</v>
      </c>
      <c r="C438" s="11" t="s">
        <v>46</v>
      </c>
      <c r="D438" s="9">
        <v>2</v>
      </c>
      <c r="E438" s="42" t="s">
        <v>500</v>
      </c>
    </row>
    <row r="439" spans="1:5" x14ac:dyDescent="0.2">
      <c r="A439" s="9" t="str">
        <f t="shared" si="11"/>
        <v>INDEC-PB - 82129-1</v>
      </c>
      <c r="B439" s="11">
        <v>82129</v>
      </c>
      <c r="C439" s="11" t="s">
        <v>46</v>
      </c>
      <c r="D439" s="9">
        <v>1</v>
      </c>
      <c r="E439" s="42" t="s">
        <v>501</v>
      </c>
    </row>
    <row r="440" spans="1:5" x14ac:dyDescent="0.2">
      <c r="A440" s="9" t="str">
        <f t="shared" si="11"/>
        <v>INDEC-PB - 91251-1</v>
      </c>
      <c r="B440" s="11">
        <v>91251</v>
      </c>
      <c r="C440" s="11" t="s">
        <v>46</v>
      </c>
      <c r="D440" s="9">
        <v>1</v>
      </c>
      <c r="E440" s="42" t="s">
        <v>502</v>
      </c>
    </row>
    <row r="441" spans="1:5" x14ac:dyDescent="0.2">
      <c r="A441" s="9" t="str">
        <f t="shared" si="11"/>
        <v>INDEC-PB - 93310-1</v>
      </c>
      <c r="B441" s="11">
        <v>93310</v>
      </c>
      <c r="C441" s="11" t="s">
        <v>46</v>
      </c>
      <c r="D441" s="9">
        <v>1</v>
      </c>
      <c r="E441" s="42" t="s">
        <v>503</v>
      </c>
    </row>
    <row r="442" spans="1:5" x14ac:dyDescent="0.2">
      <c r="A442" s="9" t="str">
        <f t="shared" si="11"/>
        <v>INDEC-PB - 84710-1</v>
      </c>
      <c r="B442" s="11">
        <v>84710</v>
      </c>
      <c r="C442" s="11" t="s">
        <v>46</v>
      </c>
      <c r="D442" s="9">
        <v>1</v>
      </c>
      <c r="E442" s="42" t="s">
        <v>504</v>
      </c>
    </row>
    <row r="443" spans="1:5" x14ac:dyDescent="0.2">
      <c r="A443" s="9" t="str">
        <f t="shared" si="11"/>
        <v>INDEC-PB - 84740-1</v>
      </c>
      <c r="B443" s="11">
        <v>84740</v>
      </c>
      <c r="C443" s="11" t="s">
        <v>46</v>
      </c>
      <c r="D443" s="9">
        <v>1</v>
      </c>
      <c r="E443" s="42" t="s">
        <v>505</v>
      </c>
    </row>
    <row r="444" spans="1:5" x14ac:dyDescent="0.2">
      <c r="A444" s="9" t="str">
        <f t="shared" si="11"/>
        <v>INDEC-PB - 84230-1</v>
      </c>
      <c r="B444" s="11">
        <v>84230</v>
      </c>
      <c r="C444" s="11" t="s">
        <v>46</v>
      </c>
      <c r="D444" s="9">
        <v>1</v>
      </c>
      <c r="E444" s="42" t="s">
        <v>506</v>
      </c>
    </row>
    <row r="445" spans="1:5" x14ac:dyDescent="0.2">
      <c r="A445" s="9" t="str">
        <f t="shared" si="11"/>
        <v>INDEC-PB - 85490-1</v>
      </c>
      <c r="B445" s="11">
        <v>85490</v>
      </c>
      <c r="C445" s="11" t="s">
        <v>46</v>
      </c>
      <c r="D445" s="9">
        <v>1</v>
      </c>
      <c r="E445" s="42" t="s">
        <v>507</v>
      </c>
    </row>
    <row r="448" spans="1:5" x14ac:dyDescent="0.2">
      <c r="A448" s="42"/>
      <c r="B448" s="7" t="s">
        <v>509</v>
      </c>
      <c r="C448" s="46"/>
      <c r="D448" s="47"/>
    </row>
    <row r="449" spans="1:5" x14ac:dyDescent="0.2">
      <c r="A449" s="42"/>
      <c r="B449" s="17"/>
      <c r="C449" s="46"/>
      <c r="D449" s="47"/>
    </row>
    <row r="450" spans="1:5" ht="12.75" customHeight="1" x14ac:dyDescent="0.2">
      <c r="A450" s="642" t="s">
        <v>348</v>
      </c>
      <c r="B450" s="643" t="s">
        <v>510</v>
      </c>
      <c r="C450" s="643"/>
      <c r="D450" s="643"/>
      <c r="E450" s="642" t="s">
        <v>44</v>
      </c>
    </row>
    <row r="451" spans="1:5" ht="12" customHeight="1" x14ac:dyDescent="0.2">
      <c r="A451" s="642"/>
      <c r="B451" s="643" t="s">
        <v>511</v>
      </c>
      <c r="C451" s="643"/>
      <c r="D451" s="643"/>
      <c r="E451" s="642"/>
    </row>
    <row r="452" spans="1:5" x14ac:dyDescent="0.2">
      <c r="B452" s="48"/>
      <c r="C452" s="47"/>
      <c r="D452" s="47"/>
      <c r="E452" s="49"/>
    </row>
    <row r="453" spans="1:5" x14ac:dyDescent="0.2">
      <c r="B453" s="48"/>
      <c r="C453" s="47"/>
      <c r="D453" s="47"/>
      <c r="E453" s="44" t="s">
        <v>512</v>
      </c>
    </row>
    <row r="454" spans="1:5" x14ac:dyDescent="0.2">
      <c r="A454" s="9" t="str">
        <f t="shared" ref="A454:A474" si="12">CONCATENATE("INDEC-PB - ",B454,C454,D454)</f>
        <v>INDEC-PB - 2811-1</v>
      </c>
      <c r="B454" s="45">
        <v>2811</v>
      </c>
      <c r="C454" s="22" t="s">
        <v>46</v>
      </c>
      <c r="D454" s="9">
        <v>1</v>
      </c>
      <c r="E454" s="29" t="s">
        <v>513</v>
      </c>
    </row>
    <row r="455" spans="1:5" x14ac:dyDescent="0.2">
      <c r="A455" s="9" t="str">
        <f t="shared" si="12"/>
        <v>INDEC-PB - 2710-1</v>
      </c>
      <c r="B455" s="45">
        <v>2710</v>
      </c>
      <c r="C455" s="22" t="s">
        <v>46</v>
      </c>
      <c r="D455" s="9">
        <v>1</v>
      </c>
      <c r="E455" s="29" t="s">
        <v>514</v>
      </c>
    </row>
    <row r="456" spans="1:5" x14ac:dyDescent="0.2">
      <c r="A456" s="9" t="str">
        <f t="shared" si="12"/>
        <v>INDEC-PB - 2922-1</v>
      </c>
      <c r="B456" s="45">
        <v>2922</v>
      </c>
      <c r="C456" s="22" t="s">
        <v>46</v>
      </c>
      <c r="D456" s="9">
        <v>1</v>
      </c>
      <c r="E456" s="29" t="s">
        <v>515</v>
      </c>
    </row>
    <row r="457" spans="1:5" x14ac:dyDescent="0.2">
      <c r="A457" s="9" t="str">
        <f t="shared" si="12"/>
        <v>INDEC-PB - 2691-</v>
      </c>
      <c r="B457" s="45">
        <v>2691</v>
      </c>
      <c r="C457" s="22" t="s">
        <v>46</v>
      </c>
      <c r="E457" s="29" t="s">
        <v>516</v>
      </c>
    </row>
    <row r="458" spans="1:5" x14ac:dyDescent="0.2">
      <c r="A458" s="9" t="str">
        <f t="shared" si="12"/>
        <v>INDEC-PB - 2695-</v>
      </c>
      <c r="B458" s="45">
        <v>2695</v>
      </c>
      <c r="C458" s="22" t="s">
        <v>46</v>
      </c>
      <c r="E458" s="29" t="s">
        <v>517</v>
      </c>
    </row>
    <row r="459" spans="1:5" x14ac:dyDescent="0.2">
      <c r="A459" s="9" t="str">
        <f t="shared" si="12"/>
        <v>INDEC-PB - 3410-2</v>
      </c>
      <c r="B459" s="45">
        <v>3410</v>
      </c>
      <c r="C459" s="22" t="s">
        <v>46</v>
      </c>
      <c r="D459" s="9">
        <v>2</v>
      </c>
      <c r="E459" s="29" t="s">
        <v>518</v>
      </c>
    </row>
    <row r="460" spans="1:5" x14ac:dyDescent="0.2">
      <c r="A460" s="9" t="str">
        <f t="shared" si="12"/>
        <v>INDEC-PB - 2520-1</v>
      </c>
      <c r="B460" s="45">
        <v>2520</v>
      </c>
      <c r="C460" s="22" t="s">
        <v>46</v>
      </c>
      <c r="D460" s="9">
        <v>1</v>
      </c>
      <c r="E460" s="42" t="s">
        <v>519</v>
      </c>
    </row>
    <row r="461" spans="1:5" x14ac:dyDescent="0.2">
      <c r="A461" s="9" t="str">
        <f t="shared" si="12"/>
        <v>INDEC-PB - 2413-3</v>
      </c>
      <c r="B461" s="45">
        <v>2413</v>
      </c>
      <c r="C461" s="22" t="s">
        <v>46</v>
      </c>
      <c r="D461" s="9">
        <v>3</v>
      </c>
      <c r="E461" s="42" t="s">
        <v>520</v>
      </c>
    </row>
    <row r="462" spans="1:5" x14ac:dyDescent="0.2">
      <c r="A462" s="9" t="str">
        <f t="shared" si="12"/>
        <v>INDEC-PB - 2519-1</v>
      </c>
      <c r="B462" s="45">
        <v>2519</v>
      </c>
      <c r="C462" s="22" t="s">
        <v>46</v>
      </c>
      <c r="D462" s="9">
        <v>1</v>
      </c>
      <c r="E462" s="42" t="s">
        <v>521</v>
      </c>
    </row>
    <row r="463" spans="1:5" x14ac:dyDescent="0.2">
      <c r="A463" s="9" t="str">
        <f t="shared" si="12"/>
        <v>INDEC-PB - 2520-3</v>
      </c>
      <c r="B463" s="45">
        <v>2520</v>
      </c>
      <c r="C463" s="22" t="s">
        <v>46</v>
      </c>
      <c r="D463" s="9">
        <v>3</v>
      </c>
      <c r="E463" s="42" t="s">
        <v>522</v>
      </c>
    </row>
    <row r="464" spans="1:5" x14ac:dyDescent="0.2">
      <c r="A464" s="9" t="str">
        <f t="shared" si="12"/>
        <v>INDEC-PB - 2022-1</v>
      </c>
      <c r="B464" s="45">
        <v>2022</v>
      </c>
      <c r="C464" s="22" t="s">
        <v>46</v>
      </c>
      <c r="D464" s="9">
        <v>1</v>
      </c>
      <c r="E464" s="42" t="s">
        <v>523</v>
      </c>
    </row>
    <row r="465" spans="1:5" x14ac:dyDescent="0.2">
      <c r="A465" s="9" t="str">
        <f t="shared" si="12"/>
        <v>INDEC-PB - 2511-1</v>
      </c>
      <c r="B465" s="45">
        <v>2511</v>
      </c>
      <c r="C465" s="22" t="s">
        <v>46</v>
      </c>
      <c r="D465" s="9">
        <v>1</v>
      </c>
      <c r="E465" s="42" t="s">
        <v>524</v>
      </c>
    </row>
    <row r="466" spans="1:5" x14ac:dyDescent="0.2">
      <c r="A466" s="9" t="str">
        <f t="shared" si="12"/>
        <v>INDEC-PB - 2899-</v>
      </c>
      <c r="B466" s="45">
        <v>2899</v>
      </c>
      <c r="C466" s="22" t="s">
        <v>46</v>
      </c>
      <c r="E466" s="42" t="s">
        <v>525</v>
      </c>
    </row>
    <row r="467" spans="1:5" x14ac:dyDescent="0.2">
      <c r="A467" s="9" t="str">
        <f t="shared" si="12"/>
        <v>INDEC-PB - 3110-1</v>
      </c>
      <c r="B467" s="45">
        <v>3110</v>
      </c>
      <c r="C467" s="22" t="s">
        <v>46</v>
      </c>
      <c r="D467" s="9">
        <v>1</v>
      </c>
      <c r="E467" s="42" t="s">
        <v>526</v>
      </c>
    </row>
    <row r="468" spans="1:5" x14ac:dyDescent="0.2">
      <c r="A468" s="9" t="str">
        <f t="shared" si="12"/>
        <v>INDEC-PB - 2320-1</v>
      </c>
      <c r="B468" s="45">
        <v>2320</v>
      </c>
      <c r="C468" s="22" t="s">
        <v>46</v>
      </c>
      <c r="D468" s="9">
        <v>1</v>
      </c>
      <c r="E468" s="42" t="s">
        <v>527</v>
      </c>
    </row>
    <row r="469" spans="1:5" x14ac:dyDescent="0.2">
      <c r="A469" s="9" t="str">
        <f t="shared" si="12"/>
        <v>INDEC-PB - 2924-1</v>
      </c>
      <c r="B469" s="45">
        <v>2924</v>
      </c>
      <c r="C469" s="22" t="s">
        <v>46</v>
      </c>
      <c r="D469" s="9">
        <v>1</v>
      </c>
      <c r="E469" s="42" t="s">
        <v>528</v>
      </c>
    </row>
    <row r="470" spans="1:5" x14ac:dyDescent="0.2">
      <c r="A470" s="9" t="str">
        <f t="shared" si="12"/>
        <v>INDEC-PB - 2692-1</v>
      </c>
      <c r="B470" s="45">
        <v>2692</v>
      </c>
      <c r="C470" s="22" t="s">
        <v>46</v>
      </c>
      <c r="D470" s="9">
        <v>1</v>
      </c>
      <c r="E470" s="42" t="s">
        <v>529</v>
      </c>
    </row>
    <row r="471" spans="1:5" x14ac:dyDescent="0.2">
      <c r="A471" s="9" t="str">
        <f t="shared" si="12"/>
        <v>INDEC-PB - 3410-</v>
      </c>
      <c r="B471" s="45">
        <v>3410</v>
      </c>
      <c r="C471" s="22" t="s">
        <v>46</v>
      </c>
      <c r="E471" s="42" t="s">
        <v>530</v>
      </c>
    </row>
    <row r="472" spans="1:5" x14ac:dyDescent="0.2">
      <c r="A472" s="9" t="str">
        <f t="shared" si="12"/>
        <v>INDEC-PB - 2413-1</v>
      </c>
      <c r="B472" s="45">
        <v>2413</v>
      </c>
      <c r="C472" s="22" t="s">
        <v>46</v>
      </c>
      <c r="D472" s="9">
        <v>1</v>
      </c>
      <c r="E472" s="42" t="s">
        <v>531</v>
      </c>
    </row>
    <row r="473" spans="1:5" x14ac:dyDescent="0.2">
      <c r="A473" s="9" t="str">
        <f t="shared" si="12"/>
        <v>INDEC-PB - 291-</v>
      </c>
      <c r="B473" s="45">
        <v>291</v>
      </c>
      <c r="C473" s="22" t="s">
        <v>46</v>
      </c>
      <c r="E473" s="50" t="s">
        <v>532</v>
      </c>
    </row>
    <row r="474" spans="1:5" x14ac:dyDescent="0.2">
      <c r="A474" s="9" t="str">
        <f t="shared" si="12"/>
        <v>INDEC-PB - 2610-1</v>
      </c>
      <c r="B474" s="45">
        <v>2610</v>
      </c>
      <c r="C474" s="22" t="s">
        <v>46</v>
      </c>
      <c r="D474" s="9">
        <v>1</v>
      </c>
      <c r="E474" s="29" t="s">
        <v>533</v>
      </c>
    </row>
    <row r="475" spans="1:5" x14ac:dyDescent="0.2">
      <c r="A475" s="47"/>
      <c r="B475" s="51"/>
      <c r="C475" s="46"/>
      <c r="E475" s="29"/>
    </row>
    <row r="476" spans="1:5" x14ac:dyDescent="0.2">
      <c r="A476" s="47"/>
      <c r="B476" s="51"/>
      <c r="C476" s="46"/>
      <c r="E476" s="44" t="s">
        <v>489</v>
      </c>
    </row>
    <row r="477" spans="1:5" x14ac:dyDescent="0.2">
      <c r="A477" s="9" t="str">
        <f t="shared" ref="A477:A482" si="13">CONCATENATE("INDEC-PB - ",B477,C477,D477)</f>
        <v>INDEC-PB - 2710-1</v>
      </c>
      <c r="B477" s="52">
        <v>2710</v>
      </c>
      <c r="C477" s="22" t="s">
        <v>46</v>
      </c>
      <c r="D477" s="52">
        <v>1</v>
      </c>
      <c r="E477" s="50" t="s">
        <v>534</v>
      </c>
    </row>
    <row r="478" spans="1:5" x14ac:dyDescent="0.2">
      <c r="A478" s="9" t="str">
        <f t="shared" si="13"/>
        <v>INDEC-PB - 2720-1</v>
      </c>
      <c r="B478" s="52">
        <v>2720</v>
      </c>
      <c r="C478" s="22" t="s">
        <v>46</v>
      </c>
      <c r="D478" s="52">
        <v>1</v>
      </c>
      <c r="E478" s="29" t="s">
        <v>535</v>
      </c>
    </row>
    <row r="479" spans="1:5" x14ac:dyDescent="0.2">
      <c r="A479" s="9" t="str">
        <f t="shared" si="13"/>
        <v>INDEC-PB - 2922-1</v>
      </c>
      <c r="B479" s="47">
        <v>2922</v>
      </c>
      <c r="C479" s="22" t="s">
        <v>46</v>
      </c>
      <c r="D479" s="47">
        <v>1</v>
      </c>
      <c r="E479" s="29" t="s">
        <v>536</v>
      </c>
    </row>
    <row r="480" spans="1:5" x14ac:dyDescent="0.2">
      <c r="A480" s="9" t="str">
        <f t="shared" si="13"/>
        <v>INDEC-PB - 2913-1</v>
      </c>
      <c r="B480" s="47">
        <v>2913</v>
      </c>
      <c r="C480" s="22" t="s">
        <v>46</v>
      </c>
      <c r="D480" s="47">
        <v>1</v>
      </c>
      <c r="E480" s="29" t="s">
        <v>537</v>
      </c>
    </row>
    <row r="481" spans="1:7" x14ac:dyDescent="0.2">
      <c r="A481" s="9" t="str">
        <f t="shared" si="13"/>
        <v>INDEC-PB - 2413-1</v>
      </c>
      <c r="B481" s="47">
        <v>2413</v>
      </c>
      <c r="C481" s="22" t="s">
        <v>46</v>
      </c>
      <c r="D481" s="47">
        <v>1</v>
      </c>
      <c r="E481" s="29" t="s">
        <v>538</v>
      </c>
    </row>
    <row r="482" spans="1:7" x14ac:dyDescent="0.2">
      <c r="A482" s="9" t="str">
        <f t="shared" si="13"/>
        <v>INDEC-PB - 2411-1</v>
      </c>
      <c r="B482" s="47">
        <v>2411</v>
      </c>
      <c r="C482" s="22" t="s">
        <v>46</v>
      </c>
      <c r="D482" s="47">
        <v>1</v>
      </c>
      <c r="E482" s="29" t="s">
        <v>539</v>
      </c>
    </row>
    <row r="485" spans="1:7" x14ac:dyDescent="0.2">
      <c r="A485" s="53"/>
      <c r="B485" s="7" t="s">
        <v>575</v>
      </c>
      <c r="C485" s="53"/>
      <c r="D485" s="54"/>
    </row>
    <row r="487" spans="1:7" ht="11.25" customHeight="1" x14ac:dyDescent="0.2">
      <c r="A487" s="36"/>
      <c r="B487" s="643" t="s">
        <v>262</v>
      </c>
      <c r="C487" s="36"/>
      <c r="D487" s="36"/>
      <c r="E487" s="643" t="s">
        <v>263</v>
      </c>
      <c r="F487" s="643" t="s">
        <v>264</v>
      </c>
      <c r="G487" s="643" t="s">
        <v>265</v>
      </c>
    </row>
    <row r="488" spans="1:7" x14ac:dyDescent="0.2">
      <c r="A488" s="36"/>
      <c r="B488" s="643"/>
      <c r="C488" s="36"/>
      <c r="D488" s="36"/>
      <c r="E488" s="643"/>
      <c r="F488" s="643" t="s">
        <v>266</v>
      </c>
      <c r="G488" s="643"/>
    </row>
    <row r="489" spans="1:7" x14ac:dyDescent="0.2">
      <c r="A489" s="22"/>
      <c r="B489" s="22"/>
      <c r="C489" s="22"/>
      <c r="D489" s="25"/>
      <c r="E489" s="22"/>
      <c r="F489" s="22"/>
      <c r="G489" s="22"/>
    </row>
    <row r="490" spans="1:7" x14ac:dyDescent="0.2">
      <c r="A490" s="25" t="str">
        <f t="shared" ref="A490:A500" si="14">CONCATENATE("INDEC-DCTO - Inciso ",B490)</f>
        <v>INDEC-DCTO - Inciso a)</v>
      </c>
      <c r="B490" s="25" t="s">
        <v>267</v>
      </c>
      <c r="C490" s="25"/>
      <c r="D490" s="25"/>
      <c r="E490" s="22" t="s">
        <v>268</v>
      </c>
      <c r="F490" s="25" t="s">
        <v>269</v>
      </c>
      <c r="G490" s="22" t="s">
        <v>270</v>
      </c>
    </row>
    <row r="491" spans="1:7" x14ac:dyDescent="0.2">
      <c r="A491" s="25" t="str">
        <f t="shared" si="14"/>
        <v>INDEC-DCTO - Inciso b)</v>
      </c>
      <c r="B491" s="25" t="s">
        <v>271</v>
      </c>
      <c r="C491" s="25"/>
      <c r="D491" s="25"/>
      <c r="E491" s="22" t="s">
        <v>272</v>
      </c>
      <c r="F491" s="25" t="s">
        <v>273</v>
      </c>
      <c r="G491" s="22" t="s">
        <v>274</v>
      </c>
    </row>
    <row r="492" spans="1:7" x14ac:dyDescent="0.2">
      <c r="A492" s="25" t="str">
        <f t="shared" si="14"/>
        <v>INDEC-DCTO - Inciso d)</v>
      </c>
      <c r="B492" s="25" t="s">
        <v>275</v>
      </c>
      <c r="C492" s="25"/>
      <c r="D492" s="25"/>
      <c r="E492" s="22" t="s">
        <v>276</v>
      </c>
      <c r="F492" s="25" t="s">
        <v>273</v>
      </c>
      <c r="G492" s="22" t="s">
        <v>277</v>
      </c>
    </row>
    <row r="493" spans="1:7" x14ac:dyDescent="0.2">
      <c r="A493" s="25" t="str">
        <f t="shared" si="14"/>
        <v>INDEC-DCTO - Inciso f)</v>
      </c>
      <c r="B493" s="25" t="s">
        <v>278</v>
      </c>
      <c r="C493" s="25"/>
      <c r="D493" s="25"/>
      <c r="E493" s="22" t="s">
        <v>279</v>
      </c>
      <c r="F493" s="25" t="s">
        <v>280</v>
      </c>
      <c r="G493" s="22" t="s">
        <v>281</v>
      </c>
    </row>
    <row r="494" spans="1:7" x14ac:dyDescent="0.2">
      <c r="A494" s="25" t="str">
        <f t="shared" si="14"/>
        <v>INDEC-DCTO - Inciso g)</v>
      </c>
      <c r="B494" s="25" t="s">
        <v>282</v>
      </c>
      <c r="C494" s="25"/>
      <c r="D494" s="25"/>
      <c r="E494" s="22" t="s">
        <v>283</v>
      </c>
      <c r="F494" s="25" t="s">
        <v>273</v>
      </c>
      <c r="G494" s="22" t="s">
        <v>284</v>
      </c>
    </row>
    <row r="495" spans="1:7" x14ac:dyDescent="0.2">
      <c r="A495" s="25" t="str">
        <f t="shared" si="14"/>
        <v>INDEC-DCTO - Inciso h)</v>
      </c>
      <c r="B495" s="25" t="s">
        <v>285</v>
      </c>
      <c r="C495" s="25"/>
      <c r="D495" s="25"/>
      <c r="E495" s="22" t="s">
        <v>286</v>
      </c>
      <c r="F495" s="25" t="s">
        <v>287</v>
      </c>
      <c r="G495" s="22" t="s">
        <v>288</v>
      </c>
    </row>
    <row r="496" spans="1:7" x14ac:dyDescent="0.2">
      <c r="A496" s="25" t="str">
        <f t="shared" si="14"/>
        <v>INDEC-DCTO - Inciso p)</v>
      </c>
      <c r="B496" s="25" t="s">
        <v>289</v>
      </c>
      <c r="C496" s="25"/>
      <c r="D496" s="25"/>
      <c r="E496" s="22" t="s">
        <v>290</v>
      </c>
      <c r="F496" s="25" t="s">
        <v>269</v>
      </c>
      <c r="G496" s="22" t="s">
        <v>291</v>
      </c>
    </row>
    <row r="497" spans="1:7" x14ac:dyDescent="0.2">
      <c r="A497" s="25" t="str">
        <f t="shared" si="14"/>
        <v>INDEC-DCTO - Inciso r)</v>
      </c>
      <c r="B497" s="25" t="s">
        <v>292</v>
      </c>
      <c r="C497" s="25"/>
      <c r="D497" s="25"/>
      <c r="E497" s="22" t="s">
        <v>293</v>
      </c>
      <c r="F497" s="25" t="s">
        <v>273</v>
      </c>
      <c r="G497" s="22" t="s">
        <v>294</v>
      </c>
    </row>
    <row r="498" spans="1:7" x14ac:dyDescent="0.2">
      <c r="A498" s="25" t="str">
        <f t="shared" si="14"/>
        <v>INDEC-DCTO - Inciso s)</v>
      </c>
      <c r="B498" s="25" t="s">
        <v>295</v>
      </c>
      <c r="C498" s="25"/>
      <c r="D498" s="25"/>
      <c r="E498" s="22" t="s">
        <v>296</v>
      </c>
      <c r="F498" s="25" t="s">
        <v>287</v>
      </c>
      <c r="G498" s="22" t="s">
        <v>166</v>
      </c>
    </row>
    <row r="499" spans="1:7" x14ac:dyDescent="0.2">
      <c r="A499" s="25" t="str">
        <f t="shared" si="14"/>
        <v>INDEC-DCTO - Inciso u)</v>
      </c>
      <c r="B499" s="25" t="s">
        <v>297</v>
      </c>
      <c r="C499" s="25"/>
      <c r="D499" s="25"/>
      <c r="E499" s="22" t="s">
        <v>298</v>
      </c>
      <c r="F499" s="25">
        <v>4324041</v>
      </c>
      <c r="G499" s="22" t="s">
        <v>189</v>
      </c>
    </row>
    <row r="500" spans="1:7" x14ac:dyDescent="0.2">
      <c r="A500" s="25" t="str">
        <f t="shared" si="14"/>
        <v>INDEC-DCTO - Inciso v)</v>
      </c>
      <c r="B500" s="25" t="s">
        <v>299</v>
      </c>
      <c r="C500" s="25"/>
      <c r="D500" s="25"/>
      <c r="E500" s="22" t="s">
        <v>300</v>
      </c>
      <c r="F500" s="25">
        <v>4322032</v>
      </c>
      <c r="G500" s="22" t="s">
        <v>134</v>
      </c>
    </row>
    <row r="501" spans="1:7" x14ac:dyDescent="0.2">
      <c r="A501" s="25"/>
      <c r="B501" s="25"/>
      <c r="C501" s="25"/>
      <c r="D501" s="25"/>
      <c r="E501" s="22"/>
      <c r="F501" s="25"/>
      <c r="G501" s="22"/>
    </row>
    <row r="502" spans="1:7" x14ac:dyDescent="0.2">
      <c r="A502" s="25" t="str">
        <f>CONCATENATE("INDEC-DCTO - Inciso ",B502)</f>
        <v>INDEC-DCTO - Inciso c)</v>
      </c>
      <c r="B502" s="25" t="s">
        <v>301</v>
      </c>
      <c r="C502" s="25"/>
      <c r="D502" s="25"/>
      <c r="E502" s="22" t="s">
        <v>302</v>
      </c>
      <c r="F502" s="25"/>
      <c r="G502" s="22" t="s">
        <v>576</v>
      </c>
    </row>
    <row r="503" spans="1:7" x14ac:dyDescent="0.2">
      <c r="A503" s="25" t="str">
        <f>CONCATENATE("INDEC-DCTO - Inciso ",B503)</f>
        <v>INDEC-DCTO - Inciso m)</v>
      </c>
      <c r="B503" s="25" t="s">
        <v>303</v>
      </c>
      <c r="C503" s="25"/>
      <c r="D503" s="25"/>
      <c r="E503" s="22" t="s">
        <v>304</v>
      </c>
      <c r="F503" s="25"/>
      <c r="G503" s="22" t="s">
        <v>577</v>
      </c>
    </row>
    <row r="504" spans="1:7" x14ac:dyDescent="0.2">
      <c r="A504" s="25" t="str">
        <f>CONCATENATE("INDEC-DCTO - Inciso ",B504)</f>
        <v>INDEC-DCTO - Inciso n)</v>
      </c>
      <c r="B504" s="25" t="s">
        <v>305</v>
      </c>
      <c r="C504" s="25"/>
      <c r="D504" s="25"/>
      <c r="E504" s="22" t="s">
        <v>306</v>
      </c>
      <c r="F504" s="25"/>
      <c r="G504" s="22" t="s">
        <v>578</v>
      </c>
    </row>
    <row r="505" spans="1:7" x14ac:dyDescent="0.2">
      <c r="A505" s="25" t="str">
        <f>CONCATENATE("INDEC-DCTO - Inciso ",B505)</f>
        <v>INDEC-DCTO - Inciso q)</v>
      </c>
      <c r="B505" s="25" t="s">
        <v>307</v>
      </c>
      <c r="C505" s="25"/>
      <c r="D505" s="25"/>
      <c r="E505" s="22" t="s">
        <v>308</v>
      </c>
      <c r="F505" s="25"/>
      <c r="G505" s="22" t="s">
        <v>579</v>
      </c>
    </row>
    <row r="508" spans="1:7" x14ac:dyDescent="0.2">
      <c r="B508" s="7" t="s">
        <v>580</v>
      </c>
    </row>
    <row r="511" spans="1:7" ht="11.25" customHeight="1" x14ac:dyDescent="0.2">
      <c r="A511" s="36"/>
      <c r="B511" s="643" t="s">
        <v>262</v>
      </c>
      <c r="C511" s="36"/>
      <c r="D511" s="36"/>
      <c r="E511" s="643" t="s">
        <v>263</v>
      </c>
      <c r="F511" s="643" t="s">
        <v>264</v>
      </c>
      <c r="G511" s="643" t="s">
        <v>265</v>
      </c>
    </row>
    <row r="512" spans="1:7" x14ac:dyDescent="0.2">
      <c r="A512" s="36"/>
      <c r="B512" s="643"/>
      <c r="C512" s="36"/>
      <c r="D512" s="36"/>
      <c r="E512" s="643"/>
      <c r="F512" s="643" t="s">
        <v>266</v>
      </c>
      <c r="G512" s="643"/>
    </row>
    <row r="513" spans="1:7" x14ac:dyDescent="0.2">
      <c r="A513" s="29"/>
      <c r="B513" s="29"/>
      <c r="C513" s="29"/>
      <c r="D513" s="30"/>
      <c r="E513" s="29"/>
      <c r="F513" s="29"/>
      <c r="G513" s="29"/>
    </row>
    <row r="514" spans="1:7" x14ac:dyDescent="0.2">
      <c r="A514" s="29"/>
      <c r="B514" s="29"/>
      <c r="C514" s="29"/>
      <c r="D514" s="30"/>
      <c r="E514" s="17" t="s">
        <v>512</v>
      </c>
      <c r="F514" s="29"/>
      <c r="G514" s="29"/>
    </row>
    <row r="515" spans="1:7" x14ac:dyDescent="0.2">
      <c r="A515" s="25" t="str">
        <f>CONCATENATE("INDEC-DCTO - Inciso ",B515)</f>
        <v>INDEC-DCTO - Inciso e)</v>
      </c>
      <c r="B515" s="9" t="s">
        <v>569</v>
      </c>
      <c r="C515" s="30"/>
      <c r="D515" s="30"/>
      <c r="E515" s="29" t="s">
        <v>551</v>
      </c>
      <c r="F515" s="30" t="s">
        <v>552</v>
      </c>
      <c r="G515" s="29" t="s">
        <v>553</v>
      </c>
    </row>
    <row r="516" spans="1:7" x14ac:dyDescent="0.2">
      <c r="A516" s="25" t="str">
        <f>CONCATENATE("INDEC-DCTO - Inciso ",B516)</f>
        <v>INDEC-DCTO - Inciso i)</v>
      </c>
      <c r="B516" s="9" t="s">
        <v>570</v>
      </c>
      <c r="C516" s="30"/>
      <c r="D516" s="30"/>
      <c r="E516" s="29" t="s">
        <v>554</v>
      </c>
      <c r="F516" s="30" t="s">
        <v>555</v>
      </c>
      <c r="G516" s="29" t="s">
        <v>556</v>
      </c>
    </row>
    <row r="517" spans="1:7" x14ac:dyDescent="0.2">
      <c r="A517" s="25" t="str">
        <f>CONCATENATE("INDEC-DCTO - Inciso ",B517)</f>
        <v>INDEC-DCTO - Inciso k)</v>
      </c>
      <c r="B517" s="9" t="s">
        <v>571</v>
      </c>
      <c r="C517" s="30"/>
      <c r="D517" s="30"/>
      <c r="E517" s="29" t="s">
        <v>557</v>
      </c>
      <c r="F517" s="30" t="s">
        <v>558</v>
      </c>
      <c r="G517" s="29" t="s">
        <v>559</v>
      </c>
    </row>
    <row r="518" spans="1:7" x14ac:dyDescent="0.2">
      <c r="A518" s="25" t="str">
        <f>CONCATENATE("INDEC-DCTO - Inciso ",B518)</f>
        <v>INDEC-DCTO - Inciso t)</v>
      </c>
      <c r="B518" s="9" t="s">
        <v>572</v>
      </c>
      <c r="C518" s="30"/>
      <c r="D518" s="30"/>
      <c r="E518" s="29" t="s">
        <v>560</v>
      </c>
      <c r="F518" s="30" t="s">
        <v>561</v>
      </c>
      <c r="G518" s="29" t="s">
        <v>562</v>
      </c>
    </row>
    <row r="519" spans="1:7" x14ac:dyDescent="0.2">
      <c r="A519" s="25" t="str">
        <f>CONCATENATE("INDEC-DCTO - Inciso ",B519)</f>
        <v>INDEC-DCTO - Inciso w)</v>
      </c>
      <c r="B519" s="9" t="s">
        <v>573</v>
      </c>
      <c r="C519" s="30"/>
      <c r="D519" s="30"/>
      <c r="E519" s="29" t="s">
        <v>563</v>
      </c>
      <c r="F519" s="30" t="s">
        <v>564</v>
      </c>
      <c r="G519" s="29" t="s">
        <v>565</v>
      </c>
    </row>
    <row r="520" spans="1:7" x14ac:dyDescent="0.2">
      <c r="A520" s="29"/>
      <c r="B520" s="9"/>
      <c r="C520" s="29"/>
      <c r="D520" s="30"/>
      <c r="E520" s="29"/>
      <c r="F520" s="30"/>
      <c r="G520" s="29"/>
    </row>
    <row r="521" spans="1:7" x14ac:dyDescent="0.2">
      <c r="A521" s="29"/>
      <c r="B521" s="9"/>
      <c r="C521" s="29"/>
      <c r="D521" s="30"/>
      <c r="E521" s="17" t="s">
        <v>489</v>
      </c>
      <c r="F521" s="30"/>
      <c r="G521" s="29"/>
    </row>
    <row r="522" spans="1:7" x14ac:dyDescent="0.2">
      <c r="A522" s="25" t="str">
        <f>CONCATENATE("INDEC-DCTO - Inciso ",B522)</f>
        <v>INDEC-DCTO - Inciso j)</v>
      </c>
      <c r="B522" s="9" t="s">
        <v>574</v>
      </c>
      <c r="C522" s="30"/>
      <c r="D522" s="30"/>
      <c r="E522" s="29" t="s">
        <v>566</v>
      </c>
      <c r="F522" s="30" t="s">
        <v>567</v>
      </c>
      <c r="G522" s="29" t="s">
        <v>568</v>
      </c>
    </row>
    <row r="523" spans="1:7" x14ac:dyDescent="0.2">
      <c r="A523" s="30"/>
      <c r="B523" s="30"/>
      <c r="C523" s="30"/>
      <c r="D523" s="30"/>
      <c r="E523" s="29"/>
      <c r="F523" s="30"/>
      <c r="G523" s="29"/>
    </row>
    <row r="526" spans="1:7" x14ac:dyDescent="0.2">
      <c r="A526" s="15"/>
      <c r="B526" s="18"/>
      <c r="C526" s="15"/>
      <c r="D526" s="16"/>
      <c r="E526" s="15"/>
    </row>
    <row r="528" spans="1:7" x14ac:dyDescent="0.2">
      <c r="A528" s="20"/>
      <c r="B528" s="7" t="s">
        <v>309</v>
      </c>
      <c r="C528" s="20"/>
      <c r="D528" s="21"/>
    </row>
    <row r="529" spans="1:5" x14ac:dyDescent="0.2">
      <c r="A529" s="22"/>
      <c r="B529" s="22"/>
      <c r="C529" s="22"/>
      <c r="D529" s="25"/>
    </row>
    <row r="530" spans="1:5" x14ac:dyDescent="0.2">
      <c r="A530" s="642" t="s">
        <v>348</v>
      </c>
      <c r="B530" s="643" t="s">
        <v>43</v>
      </c>
      <c r="C530" s="643"/>
      <c r="D530" s="643"/>
      <c r="E530" s="642" t="s">
        <v>44</v>
      </c>
    </row>
    <row r="531" spans="1:5" x14ac:dyDescent="0.2">
      <c r="A531" s="642"/>
      <c r="B531" s="643" t="s">
        <v>45</v>
      </c>
      <c r="C531" s="643"/>
      <c r="D531" s="643"/>
      <c r="E531" s="642"/>
    </row>
    <row r="532" spans="1:5" x14ac:dyDescent="0.2">
      <c r="A532" s="9" t="str">
        <f t="shared" ref="A532:A553" si="15">CONCATENATE("INDEC-GG ",B532,C532,D532)</f>
        <v>INDEC-GG 18000-1</v>
      </c>
      <c r="B532" s="37">
        <v>18000</v>
      </c>
      <c r="C532" s="37" t="s">
        <v>46</v>
      </c>
      <c r="D532" s="25">
        <v>1</v>
      </c>
      <c r="E532" s="28" t="s">
        <v>310</v>
      </c>
    </row>
    <row r="533" spans="1:5" x14ac:dyDescent="0.2">
      <c r="A533" s="9" t="str">
        <f t="shared" si="15"/>
        <v>INDEC-GG 83107-1</v>
      </c>
      <c r="B533" s="37">
        <v>83107</v>
      </c>
      <c r="C533" s="37" t="s">
        <v>46</v>
      </c>
      <c r="D533" s="25">
        <v>1</v>
      </c>
      <c r="E533" s="28" t="s">
        <v>311</v>
      </c>
    </row>
    <row r="534" spans="1:5" x14ac:dyDescent="0.2">
      <c r="A534" s="9" t="str">
        <f t="shared" si="15"/>
        <v>INDEC-GG 71240-11</v>
      </c>
      <c r="B534" s="37">
        <v>71240</v>
      </c>
      <c r="C534" s="37" t="s">
        <v>46</v>
      </c>
      <c r="D534" s="25">
        <v>11</v>
      </c>
      <c r="E534" s="24" t="s">
        <v>312</v>
      </c>
    </row>
    <row r="535" spans="1:5" x14ac:dyDescent="0.2">
      <c r="A535" s="9" t="str">
        <f t="shared" si="15"/>
        <v>INDEC-GG 71233-11</v>
      </c>
      <c r="B535" s="37">
        <v>71233</v>
      </c>
      <c r="C535" s="37" t="s">
        <v>46</v>
      </c>
      <c r="D535" s="25">
        <v>11</v>
      </c>
      <c r="E535" s="24" t="s">
        <v>313</v>
      </c>
    </row>
    <row r="536" spans="1:5" x14ac:dyDescent="0.2">
      <c r="A536" s="9" t="str">
        <f t="shared" si="15"/>
        <v>INDEC-GG 51800-11</v>
      </c>
      <c r="B536" s="37">
        <v>51800</v>
      </c>
      <c r="C536" s="37" t="s">
        <v>46</v>
      </c>
      <c r="D536" s="25">
        <v>11</v>
      </c>
      <c r="E536" s="24" t="s">
        <v>314</v>
      </c>
    </row>
    <row r="537" spans="1:5" x14ac:dyDescent="0.2">
      <c r="A537" s="9" t="str">
        <f t="shared" si="15"/>
        <v>INDEC-GG 51800-21</v>
      </c>
      <c r="B537" s="37">
        <v>51800</v>
      </c>
      <c r="C537" s="37" t="s">
        <v>46</v>
      </c>
      <c r="D537" s="25">
        <v>21</v>
      </c>
      <c r="E537" s="28" t="s">
        <v>315</v>
      </c>
    </row>
    <row r="538" spans="1:5" x14ac:dyDescent="0.2">
      <c r="A538" s="9" t="str">
        <f t="shared" si="15"/>
        <v>INDEC-GG 74110-11</v>
      </c>
      <c r="B538" s="37">
        <v>74110</v>
      </c>
      <c r="C538" s="37" t="s">
        <v>46</v>
      </c>
      <c r="D538" s="25">
        <v>11</v>
      </c>
      <c r="E538" s="24" t="s">
        <v>316</v>
      </c>
    </row>
    <row r="539" spans="1:5" x14ac:dyDescent="0.2">
      <c r="A539" s="9" t="str">
        <f t="shared" si="15"/>
        <v>INDEC-GG 51560-31</v>
      </c>
      <c r="B539" s="37">
        <v>51560</v>
      </c>
      <c r="C539" s="37" t="s">
        <v>46</v>
      </c>
      <c r="D539" s="25">
        <v>31</v>
      </c>
      <c r="E539" s="28" t="s">
        <v>317</v>
      </c>
    </row>
    <row r="540" spans="1:5" x14ac:dyDescent="0.2">
      <c r="A540" s="9" t="str">
        <f t="shared" si="15"/>
        <v>INDEC-GG 53111-1</v>
      </c>
      <c r="B540" s="37">
        <v>53111</v>
      </c>
      <c r="C540" s="37" t="s">
        <v>46</v>
      </c>
      <c r="D540" s="25">
        <v>1</v>
      </c>
      <c r="E540" s="24" t="s">
        <v>318</v>
      </c>
    </row>
    <row r="541" spans="1:5" x14ac:dyDescent="0.2">
      <c r="A541" s="9" t="str">
        <f t="shared" si="15"/>
        <v>INDEC-GG 54400-1</v>
      </c>
      <c r="B541" s="37">
        <v>54400</v>
      </c>
      <c r="C541" s="37" t="s">
        <v>46</v>
      </c>
      <c r="D541" s="25">
        <v>1</v>
      </c>
      <c r="E541" s="24" t="s">
        <v>319</v>
      </c>
    </row>
    <row r="542" spans="1:5" x14ac:dyDescent="0.2">
      <c r="A542" s="9" t="str">
        <f t="shared" si="15"/>
        <v>INDEC-GG 18000-21</v>
      </c>
      <c r="B542" s="37">
        <v>18000</v>
      </c>
      <c r="C542" s="37" t="s">
        <v>46</v>
      </c>
      <c r="D542" s="25">
        <v>21</v>
      </c>
      <c r="E542" s="24" t="s">
        <v>320</v>
      </c>
    </row>
    <row r="543" spans="1:5" x14ac:dyDescent="0.2">
      <c r="A543" s="9" t="str">
        <f t="shared" si="15"/>
        <v>INDEC-GG 18000-22</v>
      </c>
      <c r="B543" s="37">
        <v>18000</v>
      </c>
      <c r="C543" s="37" t="s">
        <v>46</v>
      </c>
      <c r="D543" s="25">
        <v>22</v>
      </c>
      <c r="E543" s="24" t="s">
        <v>321</v>
      </c>
    </row>
    <row r="544" spans="1:5" x14ac:dyDescent="0.2">
      <c r="A544" s="9" t="str">
        <f t="shared" si="15"/>
        <v>INDEC-GG 88700-2</v>
      </c>
      <c r="B544" s="37">
        <v>88700</v>
      </c>
      <c r="C544" s="37" t="s">
        <v>46</v>
      </c>
      <c r="D544" s="25">
        <v>2</v>
      </c>
      <c r="E544" s="24" t="s">
        <v>322</v>
      </c>
    </row>
    <row r="545" spans="1:5" x14ac:dyDescent="0.2">
      <c r="A545" s="9" t="str">
        <f t="shared" si="15"/>
        <v>INDEC-GG 88700-31</v>
      </c>
      <c r="B545" s="37">
        <v>88700</v>
      </c>
      <c r="C545" s="37" t="s">
        <v>46</v>
      </c>
      <c r="D545" s="25">
        <v>31</v>
      </c>
      <c r="E545" s="28" t="s">
        <v>323</v>
      </c>
    </row>
    <row r="546" spans="1:5" x14ac:dyDescent="0.2">
      <c r="A546" s="9" t="str">
        <f t="shared" si="15"/>
        <v>INDEC-GG DEP-EQ</v>
      </c>
      <c r="B546" s="37" t="s">
        <v>1114</v>
      </c>
      <c r="C546" s="37"/>
      <c r="D546" s="25"/>
      <c r="E546" s="28" t="s">
        <v>324</v>
      </c>
    </row>
    <row r="547" spans="1:5" x14ac:dyDescent="0.2">
      <c r="A547" s="9" t="str">
        <f t="shared" si="15"/>
        <v>INDEC-GG 88700-1</v>
      </c>
      <c r="B547" s="37">
        <v>88700</v>
      </c>
      <c r="C547" s="37" t="s">
        <v>46</v>
      </c>
      <c r="D547" s="25">
        <v>1</v>
      </c>
      <c r="E547" s="28" t="s">
        <v>325</v>
      </c>
    </row>
    <row r="548" spans="1:5" x14ac:dyDescent="0.2">
      <c r="A548" s="9" t="str">
        <f t="shared" si="15"/>
        <v>INDEC-GG 31210-11</v>
      </c>
      <c r="B548" s="37">
        <v>31210</v>
      </c>
      <c r="C548" s="37" t="s">
        <v>46</v>
      </c>
      <c r="D548" s="25">
        <v>11</v>
      </c>
      <c r="E548" s="28" t="s">
        <v>326</v>
      </c>
    </row>
    <row r="549" spans="1:5" x14ac:dyDescent="0.2">
      <c r="A549" s="9" t="str">
        <f t="shared" si="15"/>
        <v>INDEC-GG 81295-1</v>
      </c>
      <c r="B549" s="37">
        <v>81295</v>
      </c>
      <c r="C549" s="37" t="s">
        <v>46</v>
      </c>
      <c r="D549" s="25">
        <v>1</v>
      </c>
      <c r="E549" s="28" t="s">
        <v>327</v>
      </c>
    </row>
    <row r="550" spans="1:5" x14ac:dyDescent="0.2">
      <c r="A550" s="9" t="str">
        <f t="shared" si="15"/>
        <v>INDEC-GG 81297-1</v>
      </c>
      <c r="B550" s="37">
        <v>81297</v>
      </c>
      <c r="C550" s="37" t="s">
        <v>46</v>
      </c>
      <c r="D550" s="25">
        <v>1</v>
      </c>
      <c r="E550" s="24" t="s">
        <v>328</v>
      </c>
    </row>
    <row r="551" spans="1:5" x14ac:dyDescent="0.2">
      <c r="A551" s="9" t="str">
        <f t="shared" si="15"/>
        <v>INDEC-GG 51560-21</v>
      </c>
      <c r="B551" s="37">
        <v>51560</v>
      </c>
      <c r="C551" s="37" t="s">
        <v>46</v>
      </c>
      <c r="D551" s="25">
        <v>21</v>
      </c>
      <c r="E551" s="28" t="s">
        <v>329</v>
      </c>
    </row>
    <row r="552" spans="1:5" x14ac:dyDescent="0.2">
      <c r="A552" s="9" t="str">
        <f t="shared" si="15"/>
        <v>INDEC-GG 31100-11</v>
      </c>
      <c r="B552" s="37">
        <v>31100</v>
      </c>
      <c r="C552" s="37" t="s">
        <v>46</v>
      </c>
      <c r="D552" s="25">
        <v>11</v>
      </c>
      <c r="E552" s="28" t="s">
        <v>330</v>
      </c>
    </row>
    <row r="553" spans="1:5" x14ac:dyDescent="0.2">
      <c r="A553" s="9" t="str">
        <f t="shared" si="15"/>
        <v>INDEC-GG 53211-11</v>
      </c>
      <c r="B553" s="37">
        <v>53211</v>
      </c>
      <c r="C553" s="37" t="s">
        <v>46</v>
      </c>
      <c r="D553" s="25">
        <v>11</v>
      </c>
      <c r="E553" s="24" t="s">
        <v>331</v>
      </c>
    </row>
    <row r="556" spans="1:5" x14ac:dyDescent="0.2">
      <c r="B556" s="7" t="s">
        <v>729</v>
      </c>
    </row>
    <row r="557" spans="1:5" x14ac:dyDescent="0.2">
      <c r="B557" s="7" t="s">
        <v>730</v>
      </c>
    </row>
    <row r="559" spans="1:5" x14ac:dyDescent="0.2">
      <c r="A559" s="9" t="str">
        <f t="shared" ref="A559:A590" si="16">CONCATENATE("DNV-T I - ",B559)</f>
        <v>DNV-T I - 1</v>
      </c>
      <c r="B559" s="11">
        <v>1</v>
      </c>
      <c r="E559" s="11" t="s">
        <v>268</v>
      </c>
    </row>
    <row r="560" spans="1:5" x14ac:dyDescent="0.2">
      <c r="A560" s="9" t="str">
        <f t="shared" si="16"/>
        <v>DNV-T I - 2</v>
      </c>
      <c r="B560" s="11">
        <v>2</v>
      </c>
      <c r="E560" s="11" t="s">
        <v>731</v>
      </c>
    </row>
    <row r="561" spans="1:5" x14ac:dyDescent="0.2">
      <c r="A561" s="9" t="str">
        <f t="shared" si="16"/>
        <v>DNV-T I - 3</v>
      </c>
      <c r="B561" s="11">
        <v>3</v>
      </c>
      <c r="E561" s="11" t="s">
        <v>732</v>
      </c>
    </row>
    <row r="562" spans="1:5" x14ac:dyDescent="0.2">
      <c r="A562" s="9" t="str">
        <f t="shared" si="16"/>
        <v>DNV-T I - 4</v>
      </c>
      <c r="B562" s="11">
        <v>4</v>
      </c>
      <c r="E562" s="11" t="s">
        <v>733</v>
      </c>
    </row>
    <row r="563" spans="1:5" x14ac:dyDescent="0.2">
      <c r="A563" s="9" t="str">
        <f t="shared" si="16"/>
        <v>DNV-T I - 5</v>
      </c>
      <c r="B563" s="11">
        <v>5</v>
      </c>
      <c r="E563" s="11" t="s">
        <v>734</v>
      </c>
    </row>
    <row r="564" spans="1:5" x14ac:dyDescent="0.2">
      <c r="A564" s="9" t="str">
        <f t="shared" si="16"/>
        <v>DNV-T I - 6</v>
      </c>
      <c r="B564" s="11">
        <v>6</v>
      </c>
      <c r="E564" s="11" t="s">
        <v>735</v>
      </c>
    </row>
    <row r="565" spans="1:5" x14ac:dyDescent="0.2">
      <c r="A565" s="9" t="str">
        <f t="shared" si="16"/>
        <v>DNV-T I - 7</v>
      </c>
      <c r="B565" s="11">
        <v>7</v>
      </c>
      <c r="E565" s="11" t="s">
        <v>736</v>
      </c>
    </row>
    <row r="566" spans="1:5" x14ac:dyDescent="0.2">
      <c r="A566" s="9" t="str">
        <f t="shared" si="16"/>
        <v>DNV-T I - 8</v>
      </c>
      <c r="B566" s="11">
        <v>8</v>
      </c>
      <c r="E566" s="11" t="s">
        <v>737</v>
      </c>
    </row>
    <row r="567" spans="1:5" x14ac:dyDescent="0.2">
      <c r="A567" s="9" t="str">
        <f t="shared" si="16"/>
        <v>DNV-T I - 9</v>
      </c>
      <c r="B567" s="11">
        <v>9</v>
      </c>
      <c r="E567" s="11" t="s">
        <v>738</v>
      </c>
    </row>
    <row r="568" spans="1:5" x14ac:dyDescent="0.2">
      <c r="A568" s="9" t="str">
        <f t="shared" si="16"/>
        <v>DNV-T I - 10</v>
      </c>
      <c r="B568" s="11">
        <v>10</v>
      </c>
      <c r="E568" s="11" t="s">
        <v>739</v>
      </c>
    </row>
    <row r="569" spans="1:5" x14ac:dyDescent="0.2">
      <c r="A569" s="9" t="str">
        <f t="shared" si="16"/>
        <v>DNV-T I - 11</v>
      </c>
      <c r="B569" s="11">
        <v>11</v>
      </c>
      <c r="E569" s="11" t="s">
        <v>740</v>
      </c>
    </row>
    <row r="570" spans="1:5" x14ac:dyDescent="0.2">
      <c r="A570" s="9" t="str">
        <f t="shared" si="16"/>
        <v>DNV-T I - 12</v>
      </c>
      <c r="B570" s="11">
        <v>12</v>
      </c>
      <c r="E570" s="11" t="s">
        <v>741</v>
      </c>
    </row>
    <row r="571" spans="1:5" x14ac:dyDescent="0.2">
      <c r="A571" s="9" t="str">
        <f t="shared" si="16"/>
        <v>DNV-T I - 13</v>
      </c>
      <c r="B571" s="11">
        <v>13</v>
      </c>
      <c r="E571" s="11" t="s">
        <v>742</v>
      </c>
    </row>
    <row r="572" spans="1:5" x14ac:dyDescent="0.2">
      <c r="A572" s="9" t="str">
        <f t="shared" si="16"/>
        <v>DNV-T I - 14</v>
      </c>
      <c r="B572" s="11">
        <v>14</v>
      </c>
      <c r="E572" s="11" t="s">
        <v>743</v>
      </c>
    </row>
    <row r="573" spans="1:5" x14ac:dyDescent="0.2">
      <c r="A573" s="9" t="str">
        <f t="shared" si="16"/>
        <v>DNV-T I - 15</v>
      </c>
      <c r="B573" s="11">
        <v>15</v>
      </c>
      <c r="E573" s="11" t="s">
        <v>744</v>
      </c>
    </row>
    <row r="574" spans="1:5" x14ac:dyDescent="0.2">
      <c r="A574" s="9" t="str">
        <f t="shared" si="16"/>
        <v>DNV-T I - 16</v>
      </c>
      <c r="B574" s="11">
        <v>16</v>
      </c>
      <c r="E574" s="11" t="s">
        <v>745</v>
      </c>
    </row>
    <row r="575" spans="1:5" x14ac:dyDescent="0.2">
      <c r="A575" s="9" t="str">
        <f t="shared" si="16"/>
        <v>DNV-T I - 17</v>
      </c>
      <c r="B575" s="11">
        <v>17</v>
      </c>
      <c r="E575" s="11" t="s">
        <v>746</v>
      </c>
    </row>
    <row r="576" spans="1:5" x14ac:dyDescent="0.2">
      <c r="A576" s="9" t="str">
        <f t="shared" si="16"/>
        <v>DNV-T I - 18</v>
      </c>
      <c r="B576" s="11">
        <v>18</v>
      </c>
      <c r="E576" s="11" t="s">
        <v>747</v>
      </c>
    </row>
    <row r="577" spans="1:5" x14ac:dyDescent="0.2">
      <c r="A577" s="9" t="str">
        <f t="shared" si="16"/>
        <v>DNV-T I - 19</v>
      </c>
      <c r="B577" s="11">
        <v>19</v>
      </c>
      <c r="E577" s="11" t="s">
        <v>748</v>
      </c>
    </row>
    <row r="578" spans="1:5" x14ac:dyDescent="0.2">
      <c r="A578" s="9" t="str">
        <f t="shared" si="16"/>
        <v>DNV-T I - 20</v>
      </c>
      <c r="B578" s="11">
        <v>20</v>
      </c>
      <c r="E578" s="11" t="s">
        <v>749</v>
      </c>
    </row>
    <row r="579" spans="1:5" x14ac:dyDescent="0.2">
      <c r="A579" s="9" t="str">
        <f t="shared" si="16"/>
        <v>DNV-T I - 21</v>
      </c>
      <c r="B579" s="11">
        <v>21</v>
      </c>
      <c r="E579" s="11" t="s">
        <v>750</v>
      </c>
    </row>
    <row r="580" spans="1:5" x14ac:dyDescent="0.2">
      <c r="A580" s="9" t="str">
        <f t="shared" si="16"/>
        <v>DNV-T I - 22</v>
      </c>
      <c r="B580" s="11">
        <v>22</v>
      </c>
      <c r="E580" s="11" t="s">
        <v>751</v>
      </c>
    </row>
    <row r="581" spans="1:5" x14ac:dyDescent="0.2">
      <c r="A581" s="9" t="str">
        <f t="shared" si="16"/>
        <v>DNV-T I - 23</v>
      </c>
      <c r="B581" s="11">
        <v>23</v>
      </c>
      <c r="E581" s="11" t="s">
        <v>752</v>
      </c>
    </row>
    <row r="582" spans="1:5" x14ac:dyDescent="0.2">
      <c r="A582" s="9" t="str">
        <f t="shared" si="16"/>
        <v>DNV-T I - 24</v>
      </c>
      <c r="B582" s="11">
        <v>24</v>
      </c>
      <c r="E582" s="11" t="s">
        <v>753</v>
      </c>
    </row>
    <row r="583" spans="1:5" x14ac:dyDescent="0.2">
      <c r="A583" s="9" t="str">
        <f t="shared" si="16"/>
        <v>DNV-T I - 25</v>
      </c>
      <c r="B583" s="11">
        <v>25</v>
      </c>
      <c r="E583" s="11" t="s">
        <v>754</v>
      </c>
    </row>
    <row r="584" spans="1:5" x14ac:dyDescent="0.2">
      <c r="A584" s="9" t="str">
        <f t="shared" si="16"/>
        <v>DNV-T I - 26</v>
      </c>
      <c r="B584" s="11">
        <v>26</v>
      </c>
      <c r="E584" s="11" t="s">
        <v>755</v>
      </c>
    </row>
    <row r="585" spans="1:5" x14ac:dyDescent="0.2">
      <c r="A585" s="9" t="str">
        <f t="shared" si="16"/>
        <v>DNV-T I - 27</v>
      </c>
      <c r="B585" s="11">
        <v>27</v>
      </c>
      <c r="E585" s="11" t="s">
        <v>756</v>
      </c>
    </row>
    <row r="586" spans="1:5" x14ac:dyDescent="0.2">
      <c r="A586" s="9" t="str">
        <f t="shared" si="16"/>
        <v>DNV-T I - 28</v>
      </c>
      <c r="B586" s="11">
        <v>28</v>
      </c>
      <c r="E586" s="11" t="s">
        <v>757</v>
      </c>
    </row>
    <row r="587" spans="1:5" x14ac:dyDescent="0.2">
      <c r="A587" s="9" t="str">
        <f t="shared" si="16"/>
        <v>DNV-T I - 29</v>
      </c>
      <c r="B587" s="11">
        <v>29</v>
      </c>
      <c r="E587" s="11" t="s">
        <v>758</v>
      </c>
    </row>
    <row r="588" spans="1:5" x14ac:dyDescent="0.2">
      <c r="A588" s="9" t="str">
        <f t="shared" si="16"/>
        <v>DNV-T I - 30</v>
      </c>
      <c r="B588" s="11">
        <v>30</v>
      </c>
      <c r="E588" s="11" t="s">
        <v>759</v>
      </c>
    </row>
    <row r="589" spans="1:5" x14ac:dyDescent="0.2">
      <c r="A589" s="9" t="str">
        <f t="shared" si="16"/>
        <v>DNV-T I - 31</v>
      </c>
      <c r="B589" s="11">
        <v>31</v>
      </c>
      <c r="E589" s="11" t="s">
        <v>760</v>
      </c>
    </row>
    <row r="590" spans="1:5" x14ac:dyDescent="0.2">
      <c r="A590" s="9" t="str">
        <f t="shared" si="16"/>
        <v>DNV-T I - 32</v>
      </c>
      <c r="B590" s="11">
        <v>32</v>
      </c>
      <c r="E590" s="11" t="s">
        <v>761</v>
      </c>
    </row>
    <row r="591" spans="1:5" x14ac:dyDescent="0.2">
      <c r="A591" s="9" t="str">
        <f t="shared" ref="A591:A622" si="17">CONCATENATE("DNV-T I - ",B591)</f>
        <v>DNV-T I - 33</v>
      </c>
      <c r="B591" s="11">
        <v>33</v>
      </c>
      <c r="E591" s="11" t="s">
        <v>762</v>
      </c>
    </row>
    <row r="592" spans="1:5" x14ac:dyDescent="0.2">
      <c r="A592" s="9" t="str">
        <f t="shared" si="17"/>
        <v>DNV-T I - 34</v>
      </c>
      <c r="B592" s="11">
        <v>34</v>
      </c>
      <c r="E592" s="11" t="s">
        <v>763</v>
      </c>
    </row>
    <row r="593" spans="1:5" x14ac:dyDescent="0.2">
      <c r="A593" s="9" t="str">
        <f t="shared" si="17"/>
        <v>DNV-T I - 35</v>
      </c>
      <c r="B593" s="11">
        <v>35</v>
      </c>
      <c r="E593" s="11" t="s">
        <v>764</v>
      </c>
    </row>
    <row r="594" spans="1:5" x14ac:dyDescent="0.2">
      <c r="A594" s="9" t="str">
        <f t="shared" si="17"/>
        <v>DNV-T I - 36</v>
      </c>
      <c r="B594" s="11">
        <v>36</v>
      </c>
      <c r="E594" s="11" t="s">
        <v>765</v>
      </c>
    </row>
    <row r="595" spans="1:5" x14ac:dyDescent="0.2">
      <c r="A595" s="9" t="str">
        <f t="shared" si="17"/>
        <v>DNV-T I - 37</v>
      </c>
      <c r="B595" s="11">
        <v>37</v>
      </c>
      <c r="E595" s="11" t="s">
        <v>766</v>
      </c>
    </row>
    <row r="596" spans="1:5" x14ac:dyDescent="0.2">
      <c r="A596" s="9" t="str">
        <f t="shared" si="17"/>
        <v>DNV-T I - 38</v>
      </c>
      <c r="B596" s="11">
        <v>38</v>
      </c>
      <c r="E596" s="11" t="s">
        <v>767</v>
      </c>
    </row>
    <row r="597" spans="1:5" x14ac:dyDescent="0.2">
      <c r="A597" s="9" t="str">
        <f t="shared" si="17"/>
        <v>DNV-T I - 39</v>
      </c>
      <c r="B597" s="11">
        <v>39</v>
      </c>
      <c r="E597" s="11" t="s">
        <v>768</v>
      </c>
    </row>
    <row r="598" spans="1:5" x14ac:dyDescent="0.2">
      <c r="A598" s="9" t="str">
        <f t="shared" si="17"/>
        <v>DNV-T I - 40</v>
      </c>
      <c r="B598" s="11">
        <v>40</v>
      </c>
      <c r="E598" s="11" t="s">
        <v>769</v>
      </c>
    </row>
    <row r="599" spans="1:5" x14ac:dyDescent="0.2">
      <c r="A599" s="9" t="str">
        <f t="shared" si="17"/>
        <v>DNV-T I - 41</v>
      </c>
      <c r="B599" s="11">
        <v>41</v>
      </c>
      <c r="E599" s="11" t="s">
        <v>770</v>
      </c>
    </row>
    <row r="600" spans="1:5" x14ac:dyDescent="0.2">
      <c r="A600" s="9" t="str">
        <f t="shared" si="17"/>
        <v>DNV-T I - 42</v>
      </c>
      <c r="B600" s="11">
        <v>42</v>
      </c>
      <c r="E600" s="11" t="s">
        <v>771</v>
      </c>
    </row>
    <row r="601" spans="1:5" x14ac:dyDescent="0.2">
      <c r="A601" s="9" t="str">
        <f t="shared" si="17"/>
        <v>DNV-T I - 43</v>
      </c>
      <c r="B601" s="11">
        <v>43</v>
      </c>
      <c r="E601" s="11" t="s">
        <v>772</v>
      </c>
    </row>
    <row r="602" spans="1:5" x14ac:dyDescent="0.2">
      <c r="A602" s="9" t="str">
        <f t="shared" si="17"/>
        <v>DNV-T I - 44</v>
      </c>
      <c r="B602" s="11">
        <v>44</v>
      </c>
      <c r="E602" s="11" t="s">
        <v>773</v>
      </c>
    </row>
    <row r="603" spans="1:5" x14ac:dyDescent="0.2">
      <c r="A603" s="9" t="str">
        <f t="shared" si="17"/>
        <v>DNV-T I - 45</v>
      </c>
      <c r="B603" s="11">
        <v>45</v>
      </c>
      <c r="E603" s="11" t="s">
        <v>774</v>
      </c>
    </row>
    <row r="604" spans="1:5" x14ac:dyDescent="0.2">
      <c r="A604" s="9" t="str">
        <f t="shared" si="17"/>
        <v>DNV-T I - 46</v>
      </c>
      <c r="B604" s="11">
        <v>46</v>
      </c>
      <c r="E604" s="11" t="s">
        <v>775</v>
      </c>
    </row>
    <row r="605" spans="1:5" x14ac:dyDescent="0.2">
      <c r="A605" s="9" t="str">
        <f t="shared" si="17"/>
        <v>DNV-T I - 47</v>
      </c>
      <c r="B605" s="11">
        <v>47</v>
      </c>
      <c r="E605" s="11" t="s">
        <v>776</v>
      </c>
    </row>
    <row r="606" spans="1:5" x14ac:dyDescent="0.2">
      <c r="A606" s="9" t="str">
        <f t="shared" si="17"/>
        <v>DNV-T I - 48</v>
      </c>
      <c r="B606" s="11">
        <v>48</v>
      </c>
      <c r="E606" s="11" t="s">
        <v>777</v>
      </c>
    </row>
    <row r="607" spans="1:5" x14ac:dyDescent="0.2">
      <c r="A607" s="9" t="str">
        <f t="shared" si="17"/>
        <v>DNV-T I - 49</v>
      </c>
      <c r="B607" s="11">
        <v>49</v>
      </c>
      <c r="E607" s="11" t="s">
        <v>778</v>
      </c>
    </row>
    <row r="608" spans="1:5" x14ac:dyDescent="0.2">
      <c r="A608" s="9" t="str">
        <f t="shared" si="17"/>
        <v>DNV-T I - 50</v>
      </c>
      <c r="B608" s="11">
        <v>50</v>
      </c>
      <c r="E608" s="11" t="s">
        <v>779</v>
      </c>
    </row>
    <row r="609" spans="1:5" x14ac:dyDescent="0.2">
      <c r="A609" s="9" t="str">
        <f t="shared" si="17"/>
        <v>DNV-T I - 51</v>
      </c>
      <c r="B609" s="11">
        <v>51</v>
      </c>
      <c r="E609" s="11" t="s">
        <v>780</v>
      </c>
    </row>
    <row r="610" spans="1:5" x14ac:dyDescent="0.2">
      <c r="A610" s="9" t="str">
        <f t="shared" si="17"/>
        <v>DNV-T I - 52</v>
      </c>
      <c r="B610" s="11">
        <v>52</v>
      </c>
      <c r="E610" s="11" t="s">
        <v>781</v>
      </c>
    </row>
    <row r="611" spans="1:5" x14ac:dyDescent="0.2">
      <c r="A611" s="9" t="str">
        <f t="shared" si="17"/>
        <v>DNV-T I - 53</v>
      </c>
      <c r="B611" s="11">
        <v>53</v>
      </c>
      <c r="E611" s="11" t="s">
        <v>782</v>
      </c>
    </row>
    <row r="612" spans="1:5" x14ac:dyDescent="0.2">
      <c r="A612" s="9" t="str">
        <f t="shared" si="17"/>
        <v>DNV-T I - 54</v>
      </c>
      <c r="B612" s="11">
        <v>54</v>
      </c>
      <c r="E612" s="11" t="s">
        <v>783</v>
      </c>
    </row>
    <row r="613" spans="1:5" x14ac:dyDescent="0.2">
      <c r="A613" s="9" t="str">
        <f t="shared" si="17"/>
        <v>DNV-T I - 55</v>
      </c>
      <c r="B613" s="11">
        <v>55</v>
      </c>
      <c r="E613" s="11" t="s">
        <v>784</v>
      </c>
    </row>
    <row r="614" spans="1:5" x14ac:dyDescent="0.2">
      <c r="A614" s="9" t="str">
        <f t="shared" si="17"/>
        <v>DNV-T I - 56</v>
      </c>
      <c r="B614" s="11">
        <v>56</v>
      </c>
      <c r="E614" s="11" t="s">
        <v>785</v>
      </c>
    </row>
    <row r="615" spans="1:5" x14ac:dyDescent="0.2">
      <c r="A615" s="9" t="str">
        <f t="shared" si="17"/>
        <v>DNV-T I - 57</v>
      </c>
      <c r="B615" s="11">
        <v>57</v>
      </c>
      <c r="E615" s="11" t="s">
        <v>786</v>
      </c>
    </row>
    <row r="616" spans="1:5" x14ac:dyDescent="0.2">
      <c r="A616" s="9" t="str">
        <f t="shared" si="17"/>
        <v>DNV-T I - 58</v>
      </c>
      <c r="B616" s="11">
        <v>58</v>
      </c>
      <c r="E616" s="11" t="s">
        <v>787</v>
      </c>
    </row>
    <row r="617" spans="1:5" x14ac:dyDescent="0.2">
      <c r="A617" s="9" t="str">
        <f t="shared" si="17"/>
        <v>DNV-T I - 59</v>
      </c>
      <c r="B617" s="11">
        <v>59</v>
      </c>
      <c r="E617" s="11" t="s">
        <v>788</v>
      </c>
    </row>
    <row r="618" spans="1:5" x14ac:dyDescent="0.2">
      <c r="A618" s="9" t="str">
        <f t="shared" si="17"/>
        <v>DNV-T I - 60</v>
      </c>
      <c r="B618" s="11">
        <v>60</v>
      </c>
      <c r="E618" s="11" t="s">
        <v>789</v>
      </c>
    </row>
    <row r="619" spans="1:5" x14ac:dyDescent="0.2">
      <c r="A619" s="9" t="str">
        <f t="shared" si="17"/>
        <v>DNV-T I - 61</v>
      </c>
      <c r="B619" s="11">
        <v>61</v>
      </c>
      <c r="E619" s="11" t="s">
        <v>790</v>
      </c>
    </row>
    <row r="620" spans="1:5" x14ac:dyDescent="0.2">
      <c r="A620" s="9" t="str">
        <f t="shared" si="17"/>
        <v>DNV-T I - 62</v>
      </c>
      <c r="B620" s="11">
        <v>62</v>
      </c>
      <c r="E620" s="11" t="s">
        <v>791</v>
      </c>
    </row>
    <row r="621" spans="1:5" x14ac:dyDescent="0.2">
      <c r="A621" s="9" t="str">
        <f t="shared" si="17"/>
        <v>DNV-T I - 63</v>
      </c>
      <c r="B621" s="11">
        <v>63</v>
      </c>
      <c r="E621" s="11" t="s">
        <v>792</v>
      </c>
    </row>
    <row r="622" spans="1:5" x14ac:dyDescent="0.2">
      <c r="A622" s="9" t="str">
        <f t="shared" si="17"/>
        <v>DNV-T I - 64</v>
      </c>
      <c r="B622" s="11">
        <v>64</v>
      </c>
      <c r="E622" s="11" t="s">
        <v>793</v>
      </c>
    </row>
    <row r="623" spans="1:5" x14ac:dyDescent="0.2">
      <c r="A623" s="9" t="str">
        <f t="shared" ref="A623:A654" si="18">CONCATENATE("DNV-T I - ",B623)</f>
        <v>DNV-T I - 65</v>
      </c>
      <c r="B623" s="11">
        <v>65</v>
      </c>
      <c r="E623" s="11" t="s">
        <v>794</v>
      </c>
    </row>
    <row r="624" spans="1:5" x14ac:dyDescent="0.2">
      <c r="A624" s="9" t="str">
        <f t="shared" si="18"/>
        <v>DNV-T I - 66</v>
      </c>
      <c r="B624" s="11">
        <v>66</v>
      </c>
      <c r="E624" s="11" t="s">
        <v>795</v>
      </c>
    </row>
    <row r="625" spans="1:5" x14ac:dyDescent="0.2">
      <c r="A625" s="9" t="str">
        <f t="shared" si="18"/>
        <v>DNV-T I - 67</v>
      </c>
      <c r="B625" s="11">
        <v>67</v>
      </c>
      <c r="E625" s="11" t="s">
        <v>796</v>
      </c>
    </row>
    <row r="626" spans="1:5" x14ac:dyDescent="0.2">
      <c r="A626" s="9" t="str">
        <f t="shared" si="18"/>
        <v>DNV-T I - 68</v>
      </c>
      <c r="B626" s="11">
        <v>68</v>
      </c>
      <c r="E626" s="11" t="s">
        <v>797</v>
      </c>
    </row>
    <row r="627" spans="1:5" x14ac:dyDescent="0.2">
      <c r="A627" s="9" t="str">
        <f t="shared" si="18"/>
        <v>DNV-T I - 69</v>
      </c>
      <c r="B627" s="11">
        <v>69</v>
      </c>
      <c r="E627" s="11" t="s">
        <v>798</v>
      </c>
    </row>
    <row r="628" spans="1:5" x14ac:dyDescent="0.2">
      <c r="A628" s="9" t="str">
        <f t="shared" si="18"/>
        <v>DNV-T I - 70</v>
      </c>
      <c r="B628" s="11">
        <v>70</v>
      </c>
      <c r="E628" s="11" t="s">
        <v>799</v>
      </c>
    </row>
    <row r="629" spans="1:5" x14ac:dyDescent="0.2">
      <c r="A629" s="9" t="str">
        <f t="shared" si="18"/>
        <v>DNV-T I - 71</v>
      </c>
      <c r="B629" s="11">
        <v>71</v>
      </c>
      <c r="E629" s="11" t="s">
        <v>800</v>
      </c>
    </row>
    <row r="630" spans="1:5" x14ac:dyDescent="0.2">
      <c r="A630" s="9" t="str">
        <f t="shared" si="18"/>
        <v>DNV-T I - 72</v>
      </c>
      <c r="B630" s="11">
        <v>72</v>
      </c>
      <c r="E630" s="11" t="s">
        <v>801</v>
      </c>
    </row>
    <row r="631" spans="1:5" x14ac:dyDescent="0.2">
      <c r="A631" s="9" t="str">
        <f t="shared" si="18"/>
        <v>DNV-T I - 73</v>
      </c>
      <c r="B631" s="11">
        <v>73</v>
      </c>
      <c r="E631" s="11" t="s">
        <v>802</v>
      </c>
    </row>
    <row r="632" spans="1:5" x14ac:dyDescent="0.2">
      <c r="A632" s="9" t="str">
        <f t="shared" si="18"/>
        <v>DNV-T I - 74</v>
      </c>
      <c r="B632" s="11">
        <v>74</v>
      </c>
      <c r="E632" s="11" t="s">
        <v>803</v>
      </c>
    </row>
    <row r="633" spans="1:5" x14ac:dyDescent="0.2">
      <c r="A633" s="9" t="str">
        <f t="shared" si="18"/>
        <v>DNV-T I - 75</v>
      </c>
      <c r="B633" s="11">
        <v>75</v>
      </c>
      <c r="E633" s="11" t="s">
        <v>804</v>
      </c>
    </row>
    <row r="634" spans="1:5" ht="11.25" customHeight="1" x14ac:dyDescent="0.2">
      <c r="A634" s="9" t="str">
        <f t="shared" si="18"/>
        <v>DNV-T I - 76</v>
      </c>
      <c r="B634" s="11">
        <v>76</v>
      </c>
      <c r="E634" s="11" t="s">
        <v>805</v>
      </c>
    </row>
    <row r="635" spans="1:5" ht="11.25" customHeight="1" x14ac:dyDescent="0.2">
      <c r="A635" s="9" t="str">
        <f t="shared" si="18"/>
        <v xml:space="preserve">DNV-T I - </v>
      </c>
    </row>
    <row r="636" spans="1:5" x14ac:dyDescent="0.2">
      <c r="A636" s="9" t="str">
        <f t="shared" si="18"/>
        <v>DNV-T I - 77</v>
      </c>
      <c r="B636" s="11">
        <v>77</v>
      </c>
      <c r="E636" s="11" t="s">
        <v>806</v>
      </c>
    </row>
    <row r="637" spans="1:5" x14ac:dyDescent="0.2">
      <c r="A637" s="9" t="str">
        <f t="shared" si="18"/>
        <v>DNV-T I - 78</v>
      </c>
      <c r="B637" s="11">
        <v>78</v>
      </c>
      <c r="E637" s="11" t="s">
        <v>807</v>
      </c>
    </row>
    <row r="638" spans="1:5" x14ac:dyDescent="0.2">
      <c r="A638" s="9" t="str">
        <f t="shared" si="18"/>
        <v>DNV-T I - 79</v>
      </c>
      <c r="B638" s="11">
        <v>79</v>
      </c>
      <c r="E638" s="11" t="s">
        <v>808</v>
      </c>
    </row>
    <row r="639" spans="1:5" x14ac:dyDescent="0.2">
      <c r="A639" s="9" t="str">
        <f t="shared" si="18"/>
        <v>DNV-T I - 80</v>
      </c>
      <c r="B639" s="11">
        <v>80</v>
      </c>
      <c r="E639" s="11" t="s">
        <v>809</v>
      </c>
    </row>
    <row r="640" spans="1:5" x14ac:dyDescent="0.2">
      <c r="A640" s="9" t="str">
        <f t="shared" si="18"/>
        <v>DNV-T I - 81</v>
      </c>
      <c r="B640" s="11">
        <v>81</v>
      </c>
      <c r="E640" s="11" t="s">
        <v>810</v>
      </c>
    </row>
    <row r="641" spans="1:5" x14ac:dyDescent="0.2">
      <c r="A641" s="9" t="str">
        <f t="shared" si="18"/>
        <v>DNV-T I - 82</v>
      </c>
      <c r="B641" s="11">
        <v>82</v>
      </c>
      <c r="E641" s="11" t="s">
        <v>811</v>
      </c>
    </row>
    <row r="642" spans="1:5" x14ac:dyDescent="0.2">
      <c r="A642" s="9" t="str">
        <f t="shared" si="18"/>
        <v>DNV-T I - 83</v>
      </c>
      <c r="B642" s="11">
        <v>83</v>
      </c>
      <c r="E642" s="11" t="s">
        <v>812</v>
      </c>
    </row>
    <row r="643" spans="1:5" ht="11.25" customHeight="1" x14ac:dyDescent="0.2">
      <c r="A643" s="9" t="str">
        <f t="shared" si="18"/>
        <v>DNV-T I - 84</v>
      </c>
      <c r="B643" s="11">
        <v>84</v>
      </c>
      <c r="E643" s="11" t="s">
        <v>813</v>
      </c>
    </row>
    <row r="644" spans="1:5" ht="11.25" customHeight="1" x14ac:dyDescent="0.2">
      <c r="A644" s="9" t="str">
        <f t="shared" si="18"/>
        <v xml:space="preserve">DNV-T I - </v>
      </c>
    </row>
    <row r="645" spans="1:5" ht="11.25" customHeight="1" x14ac:dyDescent="0.2">
      <c r="A645" s="9" t="str">
        <f t="shared" si="18"/>
        <v>DNV-T I - 85</v>
      </c>
      <c r="B645" s="11">
        <v>85</v>
      </c>
      <c r="E645" s="11" t="s">
        <v>814</v>
      </c>
    </row>
    <row r="646" spans="1:5" ht="11.25" customHeight="1" x14ac:dyDescent="0.2">
      <c r="A646" s="9" t="str">
        <f t="shared" si="18"/>
        <v xml:space="preserve">DNV-T I - </v>
      </c>
    </row>
    <row r="647" spans="1:5" x14ac:dyDescent="0.2">
      <c r="A647" s="9" t="str">
        <f t="shared" si="18"/>
        <v>DNV-T I - 86</v>
      </c>
      <c r="B647" s="11">
        <v>86</v>
      </c>
      <c r="E647" s="11" t="s">
        <v>815</v>
      </c>
    </row>
    <row r="648" spans="1:5" x14ac:dyDescent="0.2">
      <c r="A648" s="9" t="str">
        <f t="shared" si="18"/>
        <v>DNV-T I - 86.1</v>
      </c>
      <c r="B648" s="11" t="s">
        <v>816</v>
      </c>
      <c r="E648" s="11" t="s">
        <v>817</v>
      </c>
    </row>
    <row r="649" spans="1:5" x14ac:dyDescent="0.2">
      <c r="A649" s="9" t="str">
        <f t="shared" si="18"/>
        <v>DNV-T I - 86.1.1</v>
      </c>
      <c r="B649" s="11" t="s">
        <v>818</v>
      </c>
      <c r="E649" s="11" t="s">
        <v>819</v>
      </c>
    </row>
    <row r="650" spans="1:5" x14ac:dyDescent="0.2">
      <c r="A650" s="9" t="str">
        <f t="shared" si="18"/>
        <v>DNV-T I - 86.1.2</v>
      </c>
      <c r="B650" s="11" t="s">
        <v>820</v>
      </c>
      <c r="E650" s="11" t="s">
        <v>821</v>
      </c>
    </row>
    <row r="651" spans="1:5" x14ac:dyDescent="0.2">
      <c r="A651" s="9" t="str">
        <f t="shared" si="18"/>
        <v>DNV-T I - 86.1.3</v>
      </c>
      <c r="B651" s="11" t="s">
        <v>822</v>
      </c>
      <c r="E651" s="11" t="s">
        <v>823</v>
      </c>
    </row>
    <row r="652" spans="1:5" x14ac:dyDescent="0.2">
      <c r="A652" s="9" t="str">
        <f t="shared" si="18"/>
        <v>DNV-T I - 86.1.4</v>
      </c>
      <c r="B652" s="11" t="s">
        <v>824</v>
      </c>
      <c r="E652" s="11" t="s">
        <v>825</v>
      </c>
    </row>
    <row r="653" spans="1:5" x14ac:dyDescent="0.2">
      <c r="A653" s="9" t="str">
        <f t="shared" si="18"/>
        <v>DNV-T I - 86.1.5</v>
      </c>
      <c r="B653" s="11" t="s">
        <v>826</v>
      </c>
      <c r="E653" s="11" t="s">
        <v>827</v>
      </c>
    </row>
    <row r="654" spans="1:5" x14ac:dyDescent="0.2">
      <c r="A654" s="9" t="str">
        <f t="shared" si="18"/>
        <v>DNV-T I - 86.2</v>
      </c>
      <c r="B654" s="11" t="s">
        <v>828</v>
      </c>
      <c r="E654" s="11" t="s">
        <v>829</v>
      </c>
    </row>
    <row r="655" spans="1:5" x14ac:dyDescent="0.2">
      <c r="A655" s="9" t="str">
        <f t="shared" ref="A655:A679" si="19">CONCATENATE("DNV-T I - ",B655)</f>
        <v>DNV-T I - 86.2.1</v>
      </c>
      <c r="B655" s="11" t="s">
        <v>830</v>
      </c>
      <c r="E655" s="11" t="s">
        <v>819</v>
      </c>
    </row>
    <row r="656" spans="1:5" x14ac:dyDescent="0.2">
      <c r="A656" s="9" t="str">
        <f t="shared" si="19"/>
        <v>DNV-T I - 86.2.2</v>
      </c>
      <c r="B656" s="11" t="s">
        <v>831</v>
      </c>
      <c r="E656" s="11" t="s">
        <v>832</v>
      </c>
    </row>
    <row r="657" spans="1:5" x14ac:dyDescent="0.2">
      <c r="A657" s="9" t="str">
        <f t="shared" si="19"/>
        <v>DNV-T I - 86.2.3</v>
      </c>
      <c r="B657" s="11" t="s">
        <v>833</v>
      </c>
      <c r="E657" s="11" t="s">
        <v>821</v>
      </c>
    </row>
    <row r="658" spans="1:5" x14ac:dyDescent="0.2">
      <c r="A658" s="9" t="str">
        <f t="shared" si="19"/>
        <v>DNV-T I - 86.2.4</v>
      </c>
      <c r="B658" s="11" t="s">
        <v>834</v>
      </c>
      <c r="E658" s="11" t="s">
        <v>823</v>
      </c>
    </row>
    <row r="659" spans="1:5" x14ac:dyDescent="0.2">
      <c r="A659" s="9" t="str">
        <f t="shared" si="19"/>
        <v>DNV-T I - 86.2.5</v>
      </c>
      <c r="B659" s="11" t="s">
        <v>835</v>
      </c>
      <c r="E659" s="11" t="s">
        <v>825</v>
      </c>
    </row>
    <row r="660" spans="1:5" x14ac:dyDescent="0.2">
      <c r="A660" s="9" t="str">
        <f t="shared" si="19"/>
        <v>DNV-T I - 86.2.6</v>
      </c>
      <c r="B660" s="11" t="s">
        <v>836</v>
      </c>
      <c r="E660" s="11" t="s">
        <v>827</v>
      </c>
    </row>
    <row r="661" spans="1:5" x14ac:dyDescent="0.2">
      <c r="A661" s="9" t="str">
        <f t="shared" si="19"/>
        <v>DNV-T I - 87</v>
      </c>
      <c r="B661" s="11">
        <v>87</v>
      </c>
      <c r="E661" s="11" t="s">
        <v>837</v>
      </c>
    </row>
    <row r="662" spans="1:5" x14ac:dyDescent="0.2">
      <c r="A662" s="9" t="str">
        <f t="shared" si="19"/>
        <v>DNV-T I - 88</v>
      </c>
      <c r="B662" s="11">
        <v>88</v>
      </c>
      <c r="E662" s="11" t="s">
        <v>838</v>
      </c>
    </row>
    <row r="663" spans="1:5" x14ac:dyDescent="0.2">
      <c r="A663" s="9" t="str">
        <f t="shared" si="19"/>
        <v>DNV-T I - 89</v>
      </c>
      <c r="B663" s="11">
        <v>89</v>
      </c>
      <c r="E663" s="11" t="s">
        <v>839</v>
      </c>
    </row>
    <row r="664" spans="1:5" x14ac:dyDescent="0.2">
      <c r="A664" s="9" t="str">
        <f t="shared" si="19"/>
        <v>DNV-T I - 90</v>
      </c>
      <c r="B664" s="11">
        <v>90</v>
      </c>
      <c r="E664" s="11" t="s">
        <v>840</v>
      </c>
    </row>
    <row r="665" spans="1:5" x14ac:dyDescent="0.2">
      <c r="A665" s="9" t="str">
        <f t="shared" si="19"/>
        <v>DNV-T I - 91</v>
      </c>
      <c r="B665" s="11">
        <v>91</v>
      </c>
      <c r="E665" s="11" t="s">
        <v>841</v>
      </c>
    </row>
    <row r="666" spans="1:5" x14ac:dyDescent="0.2">
      <c r="A666" s="9" t="str">
        <f t="shared" si="19"/>
        <v>DNV-T I - 92</v>
      </c>
      <c r="B666" s="11">
        <v>92</v>
      </c>
      <c r="E666" s="11" t="s">
        <v>842</v>
      </c>
    </row>
    <row r="667" spans="1:5" x14ac:dyDescent="0.2">
      <c r="A667" s="9" t="str">
        <f t="shared" si="19"/>
        <v>DNV-T I - 93</v>
      </c>
      <c r="B667" s="11">
        <v>93</v>
      </c>
      <c r="E667" s="11" t="s">
        <v>843</v>
      </c>
    </row>
    <row r="668" spans="1:5" x14ac:dyDescent="0.2">
      <c r="A668" s="9" t="str">
        <f t="shared" si="19"/>
        <v>DNV-T I - 94</v>
      </c>
      <c r="B668" s="11">
        <v>94</v>
      </c>
      <c r="E668" s="11" t="s">
        <v>844</v>
      </c>
    </row>
    <row r="669" spans="1:5" x14ac:dyDescent="0.2">
      <c r="A669" s="9" t="str">
        <f t="shared" si="19"/>
        <v>DNV-T I - 95</v>
      </c>
      <c r="B669" s="11">
        <v>95</v>
      </c>
      <c r="E669" s="11" t="s">
        <v>845</v>
      </c>
    </row>
    <row r="670" spans="1:5" x14ac:dyDescent="0.2">
      <c r="A670" s="9" t="str">
        <f t="shared" si="19"/>
        <v>DNV-T I - 96</v>
      </c>
      <c r="B670" s="11">
        <v>96</v>
      </c>
      <c r="E670" s="11" t="s">
        <v>846</v>
      </c>
    </row>
    <row r="671" spans="1:5" x14ac:dyDescent="0.2">
      <c r="A671" s="9" t="str">
        <f t="shared" si="19"/>
        <v>DNV-T I - 97</v>
      </c>
      <c r="B671" s="11">
        <v>97</v>
      </c>
      <c r="E671" s="11" t="s">
        <v>847</v>
      </c>
    </row>
    <row r="672" spans="1:5" x14ac:dyDescent="0.2">
      <c r="A672" s="9" t="str">
        <f t="shared" si="19"/>
        <v>DNV-T I - 98</v>
      </c>
      <c r="B672" s="11">
        <v>98</v>
      </c>
      <c r="E672" s="11" t="s">
        <v>848</v>
      </c>
    </row>
    <row r="673" spans="1:7" x14ac:dyDescent="0.2">
      <c r="A673" s="9" t="str">
        <f t="shared" si="19"/>
        <v>DNV-T I - 99</v>
      </c>
      <c r="B673" s="11">
        <v>99</v>
      </c>
      <c r="E673" s="11" t="s">
        <v>849</v>
      </c>
    </row>
    <row r="674" spans="1:7" x14ac:dyDescent="0.2">
      <c r="A674" s="9" t="str">
        <f t="shared" si="19"/>
        <v>DNV-T I - 100</v>
      </c>
      <c r="B674" s="11">
        <v>100</v>
      </c>
      <c r="E674" s="11" t="s">
        <v>850</v>
      </c>
    </row>
    <row r="675" spans="1:7" x14ac:dyDescent="0.2">
      <c r="A675" s="9" t="str">
        <f t="shared" si="19"/>
        <v>DNV-T I - 101</v>
      </c>
      <c r="B675" s="11">
        <v>101</v>
      </c>
      <c r="E675" s="11" t="s">
        <v>851</v>
      </c>
    </row>
    <row r="676" spans="1:7" x14ac:dyDescent="0.2">
      <c r="A676" s="9" t="str">
        <f t="shared" si="19"/>
        <v>DNV-T I - 102</v>
      </c>
      <c r="B676" s="11">
        <v>102</v>
      </c>
      <c r="E676" s="11" t="s">
        <v>852</v>
      </c>
    </row>
    <row r="677" spans="1:7" x14ac:dyDescent="0.2">
      <c r="A677" s="9" t="str">
        <f t="shared" si="19"/>
        <v>DNV-T I - 103</v>
      </c>
      <c r="B677" s="11">
        <v>103</v>
      </c>
      <c r="E677" s="11" t="s">
        <v>853</v>
      </c>
    </row>
    <row r="678" spans="1:7" x14ac:dyDescent="0.2">
      <c r="A678" s="9" t="str">
        <f t="shared" si="19"/>
        <v>DNV-T I - 104</v>
      </c>
      <c r="B678" s="11">
        <v>104</v>
      </c>
      <c r="E678" s="11" t="s">
        <v>854</v>
      </c>
    </row>
    <row r="679" spans="1:7" x14ac:dyDescent="0.2">
      <c r="A679" s="9" t="str">
        <f t="shared" si="19"/>
        <v>DNV-T I - 105</v>
      </c>
      <c r="B679" s="11">
        <v>105</v>
      </c>
      <c r="E679" s="11" t="s">
        <v>855</v>
      </c>
    </row>
    <row r="681" spans="1:7" ht="12.75" x14ac:dyDescent="0.2">
      <c r="A681" s="56"/>
      <c r="B681" s="7" t="s">
        <v>856</v>
      </c>
      <c r="C681" s="7"/>
      <c r="D681" s="55"/>
      <c r="E681" s="56"/>
      <c r="F681" s="56"/>
      <c r="G681" s="56"/>
    </row>
    <row r="682" spans="1:7" x14ac:dyDescent="0.2">
      <c r="A682" s="9" t="str">
        <f t="shared" ref="A682:A716" si="20">CONCATENATE("DNV-TRC - ",E682)</f>
        <v>DNV-TRC - 1</v>
      </c>
      <c r="E682" s="57">
        <v>1</v>
      </c>
    </row>
    <row r="683" spans="1:7" x14ac:dyDescent="0.2">
      <c r="A683" s="9" t="str">
        <f t="shared" si="20"/>
        <v>DNV-TRC - 1,5</v>
      </c>
      <c r="E683" s="57">
        <v>1.5</v>
      </c>
    </row>
    <row r="684" spans="1:7" x14ac:dyDescent="0.2">
      <c r="A684" s="9" t="str">
        <f t="shared" si="20"/>
        <v>DNV-TRC - 2</v>
      </c>
      <c r="E684" s="57">
        <v>2</v>
      </c>
    </row>
    <row r="685" spans="1:7" x14ac:dyDescent="0.2">
      <c r="A685" s="9" t="str">
        <f t="shared" si="20"/>
        <v>DNV-TRC - 2,5</v>
      </c>
      <c r="E685" s="57">
        <v>2.5</v>
      </c>
    </row>
    <row r="686" spans="1:7" x14ac:dyDescent="0.2">
      <c r="A686" s="9" t="str">
        <f t="shared" si="20"/>
        <v>DNV-TRC - 3</v>
      </c>
      <c r="E686" s="57">
        <v>3</v>
      </c>
    </row>
    <row r="687" spans="1:7" x14ac:dyDescent="0.2">
      <c r="A687" s="9" t="str">
        <f t="shared" si="20"/>
        <v>DNV-TRC - 3,5</v>
      </c>
      <c r="E687" s="57">
        <v>3.5</v>
      </c>
    </row>
    <row r="688" spans="1:7" x14ac:dyDescent="0.2">
      <c r="A688" s="9" t="str">
        <f t="shared" si="20"/>
        <v>DNV-TRC - 4</v>
      </c>
      <c r="E688" s="57">
        <v>4</v>
      </c>
    </row>
    <row r="689" spans="1:5" x14ac:dyDescent="0.2">
      <c r="A689" s="9" t="str">
        <f t="shared" si="20"/>
        <v>DNV-TRC - 4,5</v>
      </c>
      <c r="E689" s="57">
        <v>4.5</v>
      </c>
    </row>
    <row r="690" spans="1:5" x14ac:dyDescent="0.2">
      <c r="A690" s="9" t="str">
        <f t="shared" si="20"/>
        <v>DNV-TRC - 5</v>
      </c>
      <c r="E690" s="57">
        <v>5</v>
      </c>
    </row>
    <row r="691" spans="1:5" x14ac:dyDescent="0.2">
      <c r="A691" s="9" t="str">
        <f t="shared" si="20"/>
        <v>DNV-TRC - 6</v>
      </c>
      <c r="E691" s="57">
        <v>6</v>
      </c>
    </row>
    <row r="692" spans="1:5" x14ac:dyDescent="0.2">
      <c r="A692" s="9" t="str">
        <f t="shared" si="20"/>
        <v>DNV-TRC - 7</v>
      </c>
      <c r="E692" s="57">
        <v>7</v>
      </c>
    </row>
    <row r="693" spans="1:5" x14ac:dyDescent="0.2">
      <c r="A693" s="9" t="str">
        <f t="shared" si="20"/>
        <v>DNV-TRC - 8</v>
      </c>
      <c r="E693" s="57">
        <v>8</v>
      </c>
    </row>
    <row r="694" spans="1:5" x14ac:dyDescent="0.2">
      <c r="A694" s="9" t="str">
        <f t="shared" si="20"/>
        <v>DNV-TRC - 9</v>
      </c>
      <c r="E694" s="57">
        <v>9</v>
      </c>
    </row>
    <row r="695" spans="1:5" x14ac:dyDescent="0.2">
      <c r="A695" s="9" t="str">
        <f t="shared" si="20"/>
        <v>DNV-TRC - 10</v>
      </c>
      <c r="E695" s="57">
        <v>10</v>
      </c>
    </row>
    <row r="696" spans="1:5" x14ac:dyDescent="0.2">
      <c r="A696" s="9" t="str">
        <f t="shared" si="20"/>
        <v>DNV-TRC - 12</v>
      </c>
      <c r="E696" s="57">
        <v>12</v>
      </c>
    </row>
    <row r="697" spans="1:5" x14ac:dyDescent="0.2">
      <c r="A697" s="9" t="str">
        <f t="shared" si="20"/>
        <v>DNV-TRC - 15</v>
      </c>
      <c r="E697" s="57">
        <v>15</v>
      </c>
    </row>
    <row r="698" spans="1:5" x14ac:dyDescent="0.2">
      <c r="A698" s="9" t="str">
        <f t="shared" si="20"/>
        <v>DNV-TRC - 17</v>
      </c>
      <c r="E698" s="57">
        <v>17</v>
      </c>
    </row>
    <row r="699" spans="1:5" x14ac:dyDescent="0.2">
      <c r="A699" s="9" t="str">
        <f t="shared" si="20"/>
        <v>DNV-TRC - 19</v>
      </c>
      <c r="E699" s="57">
        <v>19</v>
      </c>
    </row>
    <row r="700" spans="1:5" x14ac:dyDescent="0.2">
      <c r="A700" s="9" t="str">
        <f t="shared" si="20"/>
        <v>DNV-TRC - 20</v>
      </c>
      <c r="E700" s="57">
        <v>20</v>
      </c>
    </row>
    <row r="701" spans="1:5" x14ac:dyDescent="0.2">
      <c r="A701" s="9" t="str">
        <f t="shared" si="20"/>
        <v>DNV-TRC - 25</v>
      </c>
      <c r="E701" s="57">
        <v>25</v>
      </c>
    </row>
    <row r="702" spans="1:5" x14ac:dyDescent="0.2">
      <c r="A702" s="9" t="str">
        <f t="shared" si="20"/>
        <v>DNV-TRC - 30</v>
      </c>
      <c r="E702" s="57">
        <v>30</v>
      </c>
    </row>
    <row r="703" spans="1:5" x14ac:dyDescent="0.2">
      <c r="A703" s="9" t="str">
        <f t="shared" si="20"/>
        <v>DNV-TRC - 35</v>
      </c>
      <c r="E703" s="57">
        <v>35</v>
      </c>
    </row>
    <row r="704" spans="1:5" x14ac:dyDescent="0.2">
      <c r="A704" s="9" t="str">
        <f t="shared" si="20"/>
        <v>DNV-TRC - 40</v>
      </c>
      <c r="E704" s="57">
        <v>40</v>
      </c>
    </row>
    <row r="705" spans="1:7" x14ac:dyDescent="0.2">
      <c r="A705" s="9" t="str">
        <f t="shared" si="20"/>
        <v>DNV-TRC - 45</v>
      </c>
      <c r="E705" s="57">
        <v>45</v>
      </c>
    </row>
    <row r="706" spans="1:7" x14ac:dyDescent="0.2">
      <c r="A706" s="9" t="str">
        <f t="shared" si="20"/>
        <v>DNV-TRC - 50</v>
      </c>
      <c r="E706" s="57">
        <v>50</v>
      </c>
    </row>
    <row r="707" spans="1:7" x14ac:dyDescent="0.2">
      <c r="A707" s="9" t="str">
        <f t="shared" si="20"/>
        <v>DNV-TRC - 55</v>
      </c>
      <c r="E707" s="57">
        <v>55</v>
      </c>
    </row>
    <row r="708" spans="1:7" x14ac:dyDescent="0.2">
      <c r="A708" s="9" t="str">
        <f t="shared" si="20"/>
        <v>DNV-TRC - 60</v>
      </c>
      <c r="E708" s="57">
        <v>60</v>
      </c>
    </row>
    <row r="709" spans="1:7" x14ac:dyDescent="0.2">
      <c r="A709" s="9" t="str">
        <f t="shared" si="20"/>
        <v>DNV-TRC - 65</v>
      </c>
      <c r="E709" s="57">
        <v>65</v>
      </c>
    </row>
    <row r="710" spans="1:7" x14ac:dyDescent="0.2">
      <c r="A710" s="9" t="str">
        <f t="shared" si="20"/>
        <v>DNV-TRC - 70</v>
      </c>
      <c r="E710" s="57">
        <v>70</v>
      </c>
    </row>
    <row r="711" spans="1:7" x14ac:dyDescent="0.2">
      <c r="A711" s="9" t="str">
        <f t="shared" si="20"/>
        <v>DNV-TRC - 75</v>
      </c>
      <c r="E711" s="57">
        <v>75</v>
      </c>
    </row>
    <row r="712" spans="1:7" x14ac:dyDescent="0.2">
      <c r="A712" s="9" t="str">
        <f t="shared" si="20"/>
        <v>DNV-TRC - 80</v>
      </c>
      <c r="E712" s="57">
        <v>80</v>
      </c>
    </row>
    <row r="713" spans="1:7" x14ac:dyDescent="0.2">
      <c r="A713" s="9" t="str">
        <f t="shared" si="20"/>
        <v>DNV-TRC - 85</v>
      </c>
      <c r="E713" s="57">
        <v>85</v>
      </c>
    </row>
    <row r="714" spans="1:7" x14ac:dyDescent="0.2">
      <c r="A714" s="9" t="str">
        <f t="shared" si="20"/>
        <v>DNV-TRC - 90</v>
      </c>
      <c r="E714" s="57">
        <v>90</v>
      </c>
    </row>
    <row r="715" spans="1:7" x14ac:dyDescent="0.2">
      <c r="A715" s="9" t="str">
        <f t="shared" si="20"/>
        <v>DNV-TRC - 95</v>
      </c>
      <c r="E715" s="57">
        <v>95</v>
      </c>
    </row>
    <row r="716" spans="1:7" x14ac:dyDescent="0.2">
      <c r="A716" s="9" t="str">
        <f t="shared" si="20"/>
        <v>DNV-TRC - 100</v>
      </c>
      <c r="E716" s="57">
        <v>100</v>
      </c>
    </row>
    <row r="717" spans="1:7" x14ac:dyDescent="0.2">
      <c r="A717" s="9"/>
      <c r="E717" s="57"/>
    </row>
    <row r="719" spans="1:7" x14ac:dyDescent="0.2">
      <c r="A719" s="7"/>
      <c r="B719" s="7" t="s">
        <v>857</v>
      </c>
      <c r="C719" s="7"/>
      <c r="D719" s="8"/>
      <c r="E719" s="7"/>
      <c r="F719" s="7"/>
      <c r="G719" s="7"/>
    </row>
    <row r="720" spans="1:7" x14ac:dyDescent="0.2">
      <c r="A720" s="9" t="str">
        <f t="shared" ref="A720:A754" si="21">CONCATENATE("DNV-TRCA - ",E720)</f>
        <v>DNV-TRCA - 55</v>
      </c>
      <c r="E720" s="57">
        <v>55</v>
      </c>
    </row>
    <row r="721" spans="1:5" x14ac:dyDescent="0.2">
      <c r="A721" s="9" t="str">
        <f t="shared" si="21"/>
        <v>DNV-TRCA - 60</v>
      </c>
      <c r="E721" s="57">
        <v>60</v>
      </c>
    </row>
    <row r="722" spans="1:5" x14ac:dyDescent="0.2">
      <c r="A722" s="9" t="str">
        <f t="shared" si="21"/>
        <v>DNV-TRCA - 65</v>
      </c>
      <c r="E722" s="57">
        <v>65</v>
      </c>
    </row>
    <row r="723" spans="1:5" x14ac:dyDescent="0.2">
      <c r="A723" s="9" t="str">
        <f t="shared" si="21"/>
        <v>DNV-TRCA - 70</v>
      </c>
      <c r="E723" s="57">
        <v>70</v>
      </c>
    </row>
    <row r="724" spans="1:5" x14ac:dyDescent="0.2">
      <c r="A724" s="9" t="str">
        <f t="shared" si="21"/>
        <v>DNV-TRCA - 75</v>
      </c>
      <c r="E724" s="57">
        <v>75</v>
      </c>
    </row>
    <row r="725" spans="1:5" x14ac:dyDescent="0.2">
      <c r="A725" s="9" t="str">
        <f t="shared" si="21"/>
        <v>DNV-TRCA - 80</v>
      </c>
      <c r="E725" s="57">
        <v>80</v>
      </c>
    </row>
    <row r="726" spans="1:5" x14ac:dyDescent="0.2">
      <c r="A726" s="9" t="str">
        <f t="shared" si="21"/>
        <v>DNV-TRCA - 85</v>
      </c>
      <c r="E726" s="57">
        <v>85</v>
      </c>
    </row>
    <row r="727" spans="1:5" x14ac:dyDescent="0.2">
      <c r="A727" s="9" t="str">
        <f t="shared" si="21"/>
        <v>DNV-TRCA - 90</v>
      </c>
      <c r="E727" s="57">
        <v>90</v>
      </c>
    </row>
    <row r="728" spans="1:5" x14ac:dyDescent="0.2">
      <c r="A728" s="9" t="str">
        <f t="shared" si="21"/>
        <v>DNV-TRCA - 95</v>
      </c>
      <c r="E728" s="57">
        <v>95</v>
      </c>
    </row>
    <row r="729" spans="1:5" x14ac:dyDescent="0.2">
      <c r="A729" s="9" t="str">
        <f t="shared" si="21"/>
        <v>DNV-TRCA - 100</v>
      </c>
      <c r="E729" s="57">
        <v>100</v>
      </c>
    </row>
    <row r="730" spans="1:5" x14ac:dyDescent="0.2">
      <c r="A730" s="9" t="str">
        <f t="shared" si="21"/>
        <v>DNV-TRCA - 105</v>
      </c>
      <c r="E730" s="57">
        <v>105</v>
      </c>
    </row>
    <row r="731" spans="1:5" x14ac:dyDescent="0.2">
      <c r="A731" s="9" t="str">
        <f t="shared" si="21"/>
        <v>DNV-TRCA - 110</v>
      </c>
      <c r="E731" s="57">
        <v>110</v>
      </c>
    </row>
    <row r="732" spans="1:5" x14ac:dyDescent="0.2">
      <c r="A732" s="9" t="str">
        <f t="shared" si="21"/>
        <v>DNV-TRCA - 120</v>
      </c>
      <c r="E732" s="57">
        <v>120</v>
      </c>
    </row>
    <row r="733" spans="1:5" x14ac:dyDescent="0.2">
      <c r="A733" s="9" t="str">
        <f t="shared" si="21"/>
        <v>DNV-TRCA - 130</v>
      </c>
      <c r="E733" s="57">
        <v>130</v>
      </c>
    </row>
    <row r="734" spans="1:5" x14ac:dyDescent="0.2">
      <c r="A734" s="9" t="str">
        <f t="shared" si="21"/>
        <v>DNV-TRCA - 140</v>
      </c>
      <c r="E734" s="57">
        <v>140</v>
      </c>
    </row>
    <row r="735" spans="1:5" x14ac:dyDescent="0.2">
      <c r="A735" s="9" t="str">
        <f t="shared" si="21"/>
        <v>DNV-TRCA - 150</v>
      </c>
      <c r="E735" s="57">
        <v>150</v>
      </c>
    </row>
    <row r="736" spans="1:5" x14ac:dyDescent="0.2">
      <c r="A736" s="9" t="str">
        <f t="shared" si="21"/>
        <v>DNV-TRCA - 160</v>
      </c>
      <c r="E736" s="57">
        <v>160</v>
      </c>
    </row>
    <row r="737" spans="1:5" x14ac:dyDescent="0.2">
      <c r="A737" s="9" t="str">
        <f t="shared" si="21"/>
        <v>DNV-TRCA - 170</v>
      </c>
      <c r="E737" s="57">
        <v>170</v>
      </c>
    </row>
    <row r="738" spans="1:5" x14ac:dyDescent="0.2">
      <c r="A738" s="9" t="str">
        <f t="shared" si="21"/>
        <v>DNV-TRCA - 180</v>
      </c>
      <c r="E738" s="57">
        <v>180</v>
      </c>
    </row>
    <row r="739" spans="1:5" x14ac:dyDescent="0.2">
      <c r="A739" s="9" t="str">
        <f t="shared" si="21"/>
        <v>DNV-TRCA - 200</v>
      </c>
      <c r="E739" s="57">
        <v>200</v>
      </c>
    </row>
    <row r="740" spans="1:5" x14ac:dyDescent="0.2">
      <c r="A740" s="9" t="str">
        <f t="shared" si="21"/>
        <v>DNV-TRCA - 225</v>
      </c>
      <c r="E740" s="57">
        <v>225</v>
      </c>
    </row>
    <row r="741" spans="1:5" x14ac:dyDescent="0.2">
      <c r="A741" s="9" t="str">
        <f t="shared" si="21"/>
        <v>DNV-TRCA - 250</v>
      </c>
      <c r="E741" s="57">
        <v>250</v>
      </c>
    </row>
    <row r="742" spans="1:5" x14ac:dyDescent="0.2">
      <c r="A742" s="9" t="str">
        <f t="shared" si="21"/>
        <v>DNV-TRCA - 275</v>
      </c>
      <c r="E742" s="57">
        <v>275</v>
      </c>
    </row>
    <row r="743" spans="1:5" x14ac:dyDescent="0.2">
      <c r="A743" s="9" t="str">
        <f t="shared" si="21"/>
        <v>DNV-TRCA - 300</v>
      </c>
      <c r="E743" s="57">
        <v>300</v>
      </c>
    </row>
    <row r="744" spans="1:5" x14ac:dyDescent="0.2">
      <c r="A744" s="9" t="str">
        <f t="shared" si="21"/>
        <v>DNV-TRCA - 325</v>
      </c>
      <c r="E744" s="57">
        <v>325</v>
      </c>
    </row>
    <row r="745" spans="1:5" x14ac:dyDescent="0.2">
      <c r="A745" s="9" t="str">
        <f t="shared" si="21"/>
        <v>DNV-TRCA - 350</v>
      </c>
      <c r="E745" s="57">
        <v>350</v>
      </c>
    </row>
    <row r="746" spans="1:5" x14ac:dyDescent="0.2">
      <c r="A746" s="9" t="str">
        <f t="shared" si="21"/>
        <v>DNV-TRCA - 375</v>
      </c>
      <c r="E746" s="57">
        <v>375</v>
      </c>
    </row>
    <row r="747" spans="1:5" x14ac:dyDescent="0.2">
      <c r="A747" s="9" t="str">
        <f t="shared" si="21"/>
        <v>DNV-TRCA - 400</v>
      </c>
      <c r="E747" s="57">
        <v>400</v>
      </c>
    </row>
    <row r="748" spans="1:5" x14ac:dyDescent="0.2">
      <c r="A748" s="9" t="str">
        <f t="shared" si="21"/>
        <v>DNV-TRCA - 425</v>
      </c>
      <c r="E748" s="57">
        <v>425</v>
      </c>
    </row>
    <row r="749" spans="1:5" x14ac:dyDescent="0.2">
      <c r="A749" s="9" t="str">
        <f t="shared" si="21"/>
        <v>DNV-TRCA - 450</v>
      </c>
      <c r="E749" s="57">
        <v>450</v>
      </c>
    </row>
    <row r="750" spans="1:5" x14ac:dyDescent="0.2">
      <c r="A750" s="9" t="str">
        <f t="shared" si="21"/>
        <v>DNV-TRCA - 475</v>
      </c>
      <c r="E750" s="57">
        <v>475</v>
      </c>
    </row>
    <row r="751" spans="1:5" x14ac:dyDescent="0.2">
      <c r="A751" s="9" t="str">
        <f t="shared" si="21"/>
        <v>DNV-TRCA - 500</v>
      </c>
      <c r="E751" s="57">
        <v>500</v>
      </c>
    </row>
    <row r="752" spans="1:5" x14ac:dyDescent="0.2">
      <c r="A752" s="9" t="str">
        <f t="shared" si="21"/>
        <v>DNV-TRCA - 600</v>
      </c>
      <c r="E752" s="57">
        <v>600</v>
      </c>
    </row>
    <row r="753" spans="1:5" x14ac:dyDescent="0.2">
      <c r="A753" s="9" t="str">
        <f t="shared" si="21"/>
        <v>DNV-TRCA - 800</v>
      </c>
      <c r="E753" s="57">
        <v>800</v>
      </c>
    </row>
    <row r="754" spans="1:5" x14ac:dyDescent="0.2">
      <c r="A754" s="9" t="str">
        <f t="shared" si="21"/>
        <v>DNV-TRCA - 1000</v>
      </c>
      <c r="E754" s="57">
        <v>1000</v>
      </c>
    </row>
    <row r="759" spans="1:5" x14ac:dyDescent="0.2">
      <c r="B759" s="7" t="s">
        <v>858</v>
      </c>
    </row>
    <row r="761" spans="1:5" x14ac:dyDescent="0.2">
      <c r="B761" s="11" t="s">
        <v>43</v>
      </c>
      <c r="C761" s="11" t="s">
        <v>859</v>
      </c>
    </row>
    <row r="762" spans="1:5" x14ac:dyDescent="0.2">
      <c r="A762" s="9" t="str">
        <f>CONCATENATE("IIEE-SJ - ",B762)</f>
        <v>IIEE-SJ - 1</v>
      </c>
      <c r="B762" s="11">
        <v>1</v>
      </c>
      <c r="E762" s="11" t="s">
        <v>860</v>
      </c>
    </row>
    <row r="763" spans="1:5" x14ac:dyDescent="0.2">
      <c r="A763" s="9" t="str">
        <f>CONCATENATE("IIEE-SJ - ",B763)</f>
        <v>IIEE-SJ - 101000</v>
      </c>
      <c r="B763" s="11">
        <v>101000</v>
      </c>
      <c r="E763" s="11" t="s">
        <v>726</v>
      </c>
    </row>
    <row r="764" spans="1:5" x14ac:dyDescent="0.2">
      <c r="A764" s="9" t="str">
        <f>CONCATENATE("IIEE-SJ - ",B764)</f>
        <v>IIEE-SJ - 102000</v>
      </c>
      <c r="B764" s="11">
        <v>102000</v>
      </c>
      <c r="E764" s="11" t="s">
        <v>727</v>
      </c>
    </row>
    <row r="765" spans="1:5" x14ac:dyDescent="0.2">
      <c r="A765" s="9" t="str">
        <f>CONCATENATE("IIEE-SJ - ",B765)</f>
        <v>IIEE-SJ - 103000</v>
      </c>
      <c r="B765" s="11">
        <v>103000</v>
      </c>
      <c r="E765" s="11" t="s">
        <v>728</v>
      </c>
    </row>
    <row r="766" spans="1:5" x14ac:dyDescent="0.2">
      <c r="A766" s="9"/>
    </row>
    <row r="767" spans="1:5" x14ac:dyDescent="0.2">
      <c r="A767" s="9" t="str">
        <f>CONCATENATE("IIEE-SJ - ",B767)</f>
        <v>IIEE-SJ - 2</v>
      </c>
      <c r="B767" s="11">
        <v>2</v>
      </c>
      <c r="E767" s="11" t="s">
        <v>861</v>
      </c>
    </row>
    <row r="768" spans="1:5" x14ac:dyDescent="0.2">
      <c r="A768" s="9"/>
    </row>
    <row r="769" spans="1:5" x14ac:dyDescent="0.2">
      <c r="A769" s="9" t="str">
        <f>CONCATENATE("IIEE-SJ - ",B769)</f>
        <v>IIEE-SJ - 201</v>
      </c>
      <c r="B769" s="11">
        <v>201</v>
      </c>
      <c r="E769" s="11" t="s">
        <v>862</v>
      </c>
    </row>
    <row r="770" spans="1:5" x14ac:dyDescent="0.2">
      <c r="A770" s="9" t="str">
        <f>CONCATENATE("IIEE-SJ - ",B770)</f>
        <v>IIEE-SJ - 201001</v>
      </c>
      <c r="B770" s="11">
        <v>201001</v>
      </c>
      <c r="E770" s="11" t="s">
        <v>584</v>
      </c>
    </row>
    <row r="771" spans="1:5" x14ac:dyDescent="0.2">
      <c r="A771" s="9" t="str">
        <f>CONCATENATE("IIEE-SJ - ",B771)</f>
        <v>IIEE-SJ - 201002</v>
      </c>
      <c r="B771" s="11">
        <v>201002</v>
      </c>
      <c r="E771" s="11" t="s">
        <v>585</v>
      </c>
    </row>
    <row r="772" spans="1:5" x14ac:dyDescent="0.2">
      <c r="A772" s="9" t="str">
        <f>CONCATENATE("IIEE-SJ - ",B772)</f>
        <v>IIEE-SJ - 201003</v>
      </c>
      <c r="B772" s="11">
        <v>201003</v>
      </c>
      <c r="E772" s="11" t="s">
        <v>586</v>
      </c>
    </row>
    <row r="773" spans="1:5" x14ac:dyDescent="0.2">
      <c r="A773" s="9" t="str">
        <f>CONCATENATE("IIEE-SJ - ",B773)</f>
        <v>IIEE-SJ - 201004</v>
      </c>
      <c r="B773" s="11">
        <v>201004</v>
      </c>
      <c r="E773" s="11" t="s">
        <v>712</v>
      </c>
    </row>
    <row r="774" spans="1:5" x14ac:dyDescent="0.2">
      <c r="A774" s="9"/>
    </row>
    <row r="775" spans="1:5" x14ac:dyDescent="0.2">
      <c r="A775" s="9" t="str">
        <f>CONCATENATE("IIEE-SJ - ",B775)</f>
        <v>IIEE-SJ - 202</v>
      </c>
      <c r="B775" s="11">
        <v>202</v>
      </c>
      <c r="E775" s="11" t="s">
        <v>863</v>
      </c>
    </row>
    <row r="776" spans="1:5" x14ac:dyDescent="0.2">
      <c r="A776" s="9" t="str">
        <f>CONCATENATE("IIEE-SJ - ",B776)</f>
        <v>IIEE-SJ - 202001</v>
      </c>
      <c r="B776" s="11">
        <v>202001</v>
      </c>
      <c r="E776" s="11" t="s">
        <v>587</v>
      </c>
    </row>
    <row r="777" spans="1:5" x14ac:dyDescent="0.2">
      <c r="A777" s="9" t="str">
        <f>CONCATENATE("IIEE-SJ - ",B777)</f>
        <v>IIEE-SJ - 202002</v>
      </c>
      <c r="B777" s="11">
        <v>202002</v>
      </c>
      <c r="E777" s="11" t="s">
        <v>588</v>
      </c>
    </row>
    <row r="778" spans="1:5" x14ac:dyDescent="0.2">
      <c r="A778" s="9" t="str">
        <f>CONCATENATE("IIEE-SJ - ",B778)</f>
        <v>IIEE-SJ - 202003</v>
      </c>
      <c r="B778" s="11">
        <v>202003</v>
      </c>
      <c r="E778" s="11" t="s">
        <v>589</v>
      </c>
    </row>
    <row r="779" spans="1:5" x14ac:dyDescent="0.2">
      <c r="A779" s="9" t="str">
        <f>CONCATENATE("IIEE-SJ - ",B779)</f>
        <v>IIEE-SJ - 202004</v>
      </c>
      <c r="B779" s="11">
        <v>202004</v>
      </c>
      <c r="E779" s="11" t="s">
        <v>682</v>
      </c>
    </row>
    <row r="780" spans="1:5" x14ac:dyDescent="0.2">
      <c r="A780" s="9"/>
    </row>
    <row r="781" spans="1:5" x14ac:dyDescent="0.2">
      <c r="A781" s="9" t="str">
        <f>CONCATENATE("IIEE-SJ - ",B781)</f>
        <v>IIEE-SJ - 203</v>
      </c>
      <c r="B781" s="11">
        <v>203</v>
      </c>
      <c r="E781" s="11" t="s">
        <v>864</v>
      </c>
    </row>
    <row r="782" spans="1:5" x14ac:dyDescent="0.2">
      <c r="A782" s="9" t="str">
        <f>CONCATENATE("IIEE-SJ - ",B782)</f>
        <v>IIEE-SJ - 203001</v>
      </c>
      <c r="B782" s="11">
        <v>203001</v>
      </c>
      <c r="E782" s="11" t="s">
        <v>865</v>
      </c>
    </row>
    <row r="783" spans="1:5" x14ac:dyDescent="0.2">
      <c r="A783" s="9" t="str">
        <f>CONCATENATE("IIEE-SJ - ",B783)</f>
        <v>IIEE-SJ - 203002</v>
      </c>
      <c r="B783" s="11">
        <v>203002</v>
      </c>
      <c r="E783" s="11" t="s">
        <v>715</v>
      </c>
    </row>
    <row r="784" spans="1:5" x14ac:dyDescent="0.2">
      <c r="A784" s="9"/>
    </row>
    <row r="785" spans="1:5" x14ac:dyDescent="0.2">
      <c r="A785" s="9" t="str">
        <f t="shared" ref="A785:A790" si="22">CONCATENATE("IIEE-SJ - ",B785)</f>
        <v>IIEE-SJ - 204</v>
      </c>
      <c r="B785" s="11">
        <v>204</v>
      </c>
      <c r="E785" s="11" t="s">
        <v>866</v>
      </c>
    </row>
    <row r="786" spans="1:5" ht="12" x14ac:dyDescent="0.2">
      <c r="A786" s="9" t="str">
        <f t="shared" si="22"/>
        <v>IIEE-SJ - 204001</v>
      </c>
      <c r="B786" s="11">
        <v>204001</v>
      </c>
      <c r="E786" s="58" t="s">
        <v>867</v>
      </c>
    </row>
    <row r="787" spans="1:5" ht="12" x14ac:dyDescent="0.2">
      <c r="A787" s="9" t="str">
        <f t="shared" si="22"/>
        <v>IIEE-SJ - 204002</v>
      </c>
      <c r="B787" s="11">
        <v>204002</v>
      </c>
      <c r="E787" s="58" t="s">
        <v>868</v>
      </c>
    </row>
    <row r="788" spans="1:5" ht="12" x14ac:dyDescent="0.2">
      <c r="A788" s="9" t="str">
        <f t="shared" si="22"/>
        <v>IIEE-SJ - 204003</v>
      </c>
      <c r="B788" s="11">
        <v>204003</v>
      </c>
      <c r="E788" s="58" t="s">
        <v>869</v>
      </c>
    </row>
    <row r="789" spans="1:5" x14ac:dyDescent="0.2">
      <c r="A789" s="9" t="str">
        <f t="shared" si="22"/>
        <v>IIEE-SJ - 204004</v>
      </c>
      <c r="B789" s="11">
        <v>204004</v>
      </c>
      <c r="E789" s="11" t="s">
        <v>692</v>
      </c>
    </row>
    <row r="790" spans="1:5" x14ac:dyDescent="0.2">
      <c r="A790" s="9" t="str">
        <f t="shared" si="22"/>
        <v>IIEE-SJ - 204005</v>
      </c>
      <c r="B790" s="11">
        <v>204005</v>
      </c>
      <c r="E790" s="11" t="s">
        <v>693</v>
      </c>
    </row>
    <row r="791" spans="1:5" x14ac:dyDescent="0.2">
      <c r="A791" s="9"/>
    </row>
    <row r="792" spans="1:5" x14ac:dyDescent="0.2">
      <c r="A792" s="9" t="str">
        <f t="shared" ref="A792:A797" si="23">CONCATENATE("IIEE-SJ - ",B792)</f>
        <v>IIEE-SJ - 205</v>
      </c>
      <c r="B792" s="11">
        <v>205</v>
      </c>
      <c r="E792" s="11" t="s">
        <v>870</v>
      </c>
    </row>
    <row r="793" spans="1:5" x14ac:dyDescent="0.2">
      <c r="A793" s="9" t="str">
        <f t="shared" si="23"/>
        <v>IIEE-SJ - 205001</v>
      </c>
      <c r="B793" s="11">
        <v>205001</v>
      </c>
      <c r="E793" s="11" t="s">
        <v>871</v>
      </c>
    </row>
    <row r="794" spans="1:5" x14ac:dyDescent="0.2">
      <c r="A794" s="9" t="str">
        <f t="shared" si="23"/>
        <v>IIEE-SJ - 205002</v>
      </c>
      <c r="B794" s="11">
        <v>205002</v>
      </c>
      <c r="E794" s="11" t="s">
        <v>872</v>
      </c>
    </row>
    <row r="795" spans="1:5" x14ac:dyDescent="0.2">
      <c r="A795" s="9" t="str">
        <f t="shared" si="23"/>
        <v>IIEE-SJ - 205003</v>
      </c>
      <c r="B795" s="11">
        <v>205003</v>
      </c>
      <c r="E795" s="11" t="s">
        <v>690</v>
      </c>
    </row>
    <row r="796" spans="1:5" x14ac:dyDescent="0.2">
      <c r="A796" s="9" t="str">
        <f t="shared" si="23"/>
        <v>IIEE-SJ - 205004</v>
      </c>
      <c r="B796" s="11">
        <v>205004</v>
      </c>
      <c r="E796" s="11" t="s">
        <v>691</v>
      </c>
    </row>
    <row r="797" spans="1:5" x14ac:dyDescent="0.2">
      <c r="A797" s="9" t="str">
        <f t="shared" si="23"/>
        <v>IIEE-SJ - 205005</v>
      </c>
      <c r="B797" s="11">
        <v>205005</v>
      </c>
      <c r="E797" s="11" t="s">
        <v>689</v>
      </c>
    </row>
    <row r="798" spans="1:5" x14ac:dyDescent="0.2">
      <c r="A798" s="9"/>
    </row>
    <row r="799" spans="1:5" x14ac:dyDescent="0.2">
      <c r="A799" s="9" t="str">
        <f>CONCATENATE("IIEE-SJ - ",B799)</f>
        <v>IIEE-SJ - 206</v>
      </c>
      <c r="B799" s="11">
        <v>206</v>
      </c>
      <c r="E799" s="11" t="s">
        <v>873</v>
      </c>
    </row>
    <row r="800" spans="1:5" x14ac:dyDescent="0.2">
      <c r="A800" s="9" t="str">
        <f>CONCATENATE("IIEE-SJ - ",B800)</f>
        <v>IIEE-SJ - 206001</v>
      </c>
      <c r="B800" s="11">
        <v>206001</v>
      </c>
      <c r="E800" s="11" t="s">
        <v>874</v>
      </c>
    </row>
    <row r="801" spans="1:5" x14ac:dyDescent="0.2">
      <c r="A801" s="9" t="str">
        <f>CONCATENATE("IIEE-SJ - ",B801)</f>
        <v>IIEE-SJ - 206002</v>
      </c>
      <c r="B801" s="11">
        <v>206002</v>
      </c>
      <c r="E801" s="11" t="s">
        <v>590</v>
      </c>
    </row>
    <row r="802" spans="1:5" x14ac:dyDescent="0.2">
      <c r="A802" s="9" t="str">
        <f>CONCATENATE("IIEE-SJ - ",B802)</f>
        <v>IIEE-SJ - 206003</v>
      </c>
      <c r="B802" s="11">
        <v>206003</v>
      </c>
      <c r="E802" s="11" t="s">
        <v>683</v>
      </c>
    </row>
    <row r="803" spans="1:5" x14ac:dyDescent="0.2">
      <c r="A803" s="9" t="str">
        <f>CONCATENATE("IIEE-SJ - ",B803)</f>
        <v>IIEE-SJ - 206004</v>
      </c>
      <c r="B803" s="11">
        <v>206004</v>
      </c>
      <c r="E803" s="11" t="s">
        <v>684</v>
      </c>
    </row>
    <row r="804" spans="1:5" x14ac:dyDescent="0.2">
      <c r="A804" s="9"/>
    </row>
    <row r="805" spans="1:5" x14ac:dyDescent="0.2">
      <c r="A805" s="9" t="str">
        <f>CONCATENATE("IIEE-SJ - ",B805)</f>
        <v>IIEE-SJ - 207</v>
      </c>
      <c r="B805" s="11">
        <v>207</v>
      </c>
      <c r="E805" s="11" t="s">
        <v>875</v>
      </c>
    </row>
    <row r="806" spans="1:5" x14ac:dyDescent="0.2">
      <c r="A806" s="9" t="str">
        <f>CONCATENATE("IIEE-SJ - ",B806)</f>
        <v>IIEE-SJ - 207001</v>
      </c>
      <c r="B806" s="11">
        <v>207001</v>
      </c>
      <c r="E806" s="11" t="s">
        <v>591</v>
      </c>
    </row>
    <row r="807" spans="1:5" x14ac:dyDescent="0.2">
      <c r="A807" s="9" t="str">
        <f>CONCATENATE("IIEE-SJ - ",B807)</f>
        <v>IIEE-SJ - 207002</v>
      </c>
      <c r="B807" s="11">
        <v>207002</v>
      </c>
      <c r="E807" s="11" t="s">
        <v>876</v>
      </c>
    </row>
    <row r="808" spans="1:5" x14ac:dyDescent="0.2">
      <c r="A808" s="9" t="str">
        <f>CONCATENATE("IIEE-SJ - ",B808)</f>
        <v>IIEE-SJ - 207003</v>
      </c>
      <c r="B808" s="11">
        <v>207003</v>
      </c>
      <c r="E808" s="11" t="s">
        <v>685</v>
      </c>
    </row>
    <row r="809" spans="1:5" x14ac:dyDescent="0.2">
      <c r="A809" s="9" t="str">
        <f>CONCATENATE("IIEE-SJ - ",B809)</f>
        <v>IIEE-SJ - 207004</v>
      </c>
      <c r="B809" s="11">
        <v>207004</v>
      </c>
      <c r="E809" s="11" t="s">
        <v>688</v>
      </c>
    </row>
    <row r="810" spans="1:5" x14ac:dyDescent="0.2">
      <c r="A810" s="9"/>
    </row>
    <row r="811" spans="1:5" x14ac:dyDescent="0.2">
      <c r="A811" s="9" t="str">
        <f>CONCATENATE("IIEE-SJ - ",B811)</f>
        <v>IIEE-SJ - 208</v>
      </c>
      <c r="B811" s="11">
        <v>208</v>
      </c>
      <c r="E811" s="11" t="s">
        <v>877</v>
      </c>
    </row>
    <row r="812" spans="1:5" x14ac:dyDescent="0.2">
      <c r="A812" s="9" t="str">
        <f>CONCATENATE("IIEE-SJ - ",B812)</f>
        <v>IIEE-SJ - 208001</v>
      </c>
      <c r="B812" s="11">
        <v>208001</v>
      </c>
      <c r="E812" s="11" t="s">
        <v>592</v>
      </c>
    </row>
    <row r="813" spans="1:5" x14ac:dyDescent="0.2">
      <c r="A813" s="9" t="str">
        <f>CONCATENATE("IIEE-SJ - ",B813)</f>
        <v>IIEE-SJ - 208001</v>
      </c>
      <c r="B813" s="11">
        <v>208001</v>
      </c>
      <c r="E813" s="11" t="s">
        <v>878</v>
      </c>
    </row>
    <row r="814" spans="1:5" x14ac:dyDescent="0.2">
      <c r="A814" s="9"/>
    </row>
    <row r="815" spans="1:5" x14ac:dyDescent="0.2">
      <c r="A815" s="9" t="str">
        <f t="shared" ref="A815:A823" si="24">CONCATENATE("IIEE-SJ - ",B815)</f>
        <v>IIEE-SJ - 209</v>
      </c>
      <c r="B815" s="11">
        <v>209</v>
      </c>
      <c r="E815" s="11" t="s">
        <v>879</v>
      </c>
    </row>
    <row r="816" spans="1:5" x14ac:dyDescent="0.2">
      <c r="A816" s="9" t="str">
        <f t="shared" si="24"/>
        <v>IIEE-SJ - 209001</v>
      </c>
      <c r="B816" s="11">
        <v>209001</v>
      </c>
      <c r="E816" s="11" t="s">
        <v>593</v>
      </c>
    </row>
    <row r="817" spans="1:5" x14ac:dyDescent="0.2">
      <c r="A817" s="9" t="str">
        <f t="shared" si="24"/>
        <v>IIEE-SJ - 209002</v>
      </c>
      <c r="B817" s="11">
        <v>209002</v>
      </c>
      <c r="E817" s="11" t="s">
        <v>594</v>
      </c>
    </row>
    <row r="818" spans="1:5" x14ac:dyDescent="0.2">
      <c r="A818" s="9" t="str">
        <f t="shared" si="24"/>
        <v>IIEE-SJ - 209003</v>
      </c>
      <c r="B818" s="11">
        <v>209003</v>
      </c>
      <c r="E818" s="11" t="s">
        <v>595</v>
      </c>
    </row>
    <row r="819" spans="1:5" x14ac:dyDescent="0.2">
      <c r="A819" s="9" t="str">
        <f t="shared" si="24"/>
        <v>IIEE-SJ - 209004</v>
      </c>
      <c r="B819" s="11">
        <v>209004</v>
      </c>
      <c r="E819" s="11" t="s">
        <v>596</v>
      </c>
    </row>
    <row r="820" spans="1:5" x14ac:dyDescent="0.2">
      <c r="A820" s="9" t="str">
        <f t="shared" si="24"/>
        <v>IIEE-SJ - 209005</v>
      </c>
      <c r="B820" s="11">
        <v>209005</v>
      </c>
      <c r="E820" s="11" t="s">
        <v>697</v>
      </c>
    </row>
    <row r="821" spans="1:5" x14ac:dyDescent="0.2">
      <c r="A821" s="9" t="str">
        <f t="shared" si="24"/>
        <v>IIEE-SJ - 209006</v>
      </c>
      <c r="B821" s="11">
        <v>209006</v>
      </c>
      <c r="E821" s="11" t="s">
        <v>698</v>
      </c>
    </row>
    <row r="822" spans="1:5" x14ac:dyDescent="0.2">
      <c r="A822" s="9" t="str">
        <f t="shared" si="24"/>
        <v>IIEE-SJ - 209007</v>
      </c>
      <c r="B822" s="11">
        <v>209007</v>
      </c>
      <c r="E822" s="11" t="s">
        <v>699</v>
      </c>
    </row>
    <row r="823" spans="1:5" x14ac:dyDescent="0.2">
      <c r="A823" s="9" t="str">
        <f t="shared" si="24"/>
        <v>IIEE-SJ - 209008</v>
      </c>
      <c r="B823" s="11">
        <v>209008</v>
      </c>
      <c r="E823" s="11" t="s">
        <v>700</v>
      </c>
    </row>
    <row r="824" spans="1:5" x14ac:dyDescent="0.2">
      <c r="A824" s="9"/>
    </row>
    <row r="825" spans="1:5" x14ac:dyDescent="0.2">
      <c r="A825" s="9" t="str">
        <f t="shared" ref="A825:A833" si="25">CONCATENATE("IIEE-SJ - ",B825)</f>
        <v>IIEE-SJ - 210</v>
      </c>
      <c r="B825" s="11">
        <v>210</v>
      </c>
      <c r="E825" s="11" t="s">
        <v>880</v>
      </c>
    </row>
    <row r="826" spans="1:5" x14ac:dyDescent="0.2">
      <c r="A826" s="9" t="str">
        <f t="shared" si="25"/>
        <v>IIEE-SJ - 210001</v>
      </c>
      <c r="B826" s="11">
        <v>210001</v>
      </c>
      <c r="E826" s="11" t="s">
        <v>597</v>
      </c>
    </row>
    <row r="827" spans="1:5" x14ac:dyDescent="0.2">
      <c r="A827" s="9" t="str">
        <f t="shared" si="25"/>
        <v>IIEE-SJ - 210002</v>
      </c>
      <c r="B827" s="11">
        <v>210002</v>
      </c>
      <c r="E827" s="11" t="s">
        <v>598</v>
      </c>
    </row>
    <row r="828" spans="1:5" x14ac:dyDescent="0.2">
      <c r="A828" s="9" t="str">
        <f t="shared" si="25"/>
        <v>IIEE-SJ - 210003</v>
      </c>
      <c r="B828" s="11">
        <v>210003</v>
      </c>
      <c r="E828" s="11" t="s">
        <v>599</v>
      </c>
    </row>
    <row r="829" spans="1:5" x14ac:dyDescent="0.2">
      <c r="A829" s="9" t="str">
        <f t="shared" si="25"/>
        <v>IIEE-SJ - 210004</v>
      </c>
      <c r="B829" s="11">
        <v>210004</v>
      </c>
      <c r="E829" s="11" t="s">
        <v>600</v>
      </c>
    </row>
    <row r="830" spans="1:5" x14ac:dyDescent="0.2">
      <c r="A830" s="9" t="str">
        <f t="shared" si="25"/>
        <v>IIEE-SJ - 210005</v>
      </c>
      <c r="B830" s="11">
        <v>210005</v>
      </c>
      <c r="E830" s="11" t="s">
        <v>601</v>
      </c>
    </row>
    <row r="831" spans="1:5" x14ac:dyDescent="0.2">
      <c r="A831" s="9" t="str">
        <f t="shared" si="25"/>
        <v>IIEE-SJ - 210006</v>
      </c>
      <c r="B831" s="11">
        <v>210006</v>
      </c>
      <c r="E831" s="11" t="s">
        <v>602</v>
      </c>
    </row>
    <row r="832" spans="1:5" x14ac:dyDescent="0.2">
      <c r="A832" s="9" t="str">
        <f t="shared" si="25"/>
        <v>IIEE-SJ - 210007</v>
      </c>
      <c r="B832" s="11">
        <v>210007</v>
      </c>
      <c r="E832" s="11" t="s">
        <v>603</v>
      </c>
    </row>
    <row r="833" spans="1:5" x14ac:dyDescent="0.2">
      <c r="A833" s="9" t="str">
        <f t="shared" si="25"/>
        <v>IIEE-SJ - 210008</v>
      </c>
      <c r="B833" s="11">
        <v>210008</v>
      </c>
      <c r="E833" s="11" t="s">
        <v>604</v>
      </c>
    </row>
    <row r="834" spans="1:5" x14ac:dyDescent="0.2">
      <c r="A834" s="9"/>
    </row>
    <row r="835" spans="1:5" x14ac:dyDescent="0.2">
      <c r="A835" s="9" t="str">
        <f t="shared" ref="A835:A844" si="26">CONCATENATE("IIEE-SJ - ",B835)</f>
        <v>IIEE-SJ - 211</v>
      </c>
      <c r="B835" s="11">
        <v>211</v>
      </c>
      <c r="E835" s="11" t="s">
        <v>881</v>
      </c>
    </row>
    <row r="836" spans="1:5" x14ac:dyDescent="0.2">
      <c r="A836" s="9" t="str">
        <f t="shared" si="26"/>
        <v>IIEE-SJ - 211001</v>
      </c>
      <c r="B836" s="11">
        <v>211001</v>
      </c>
      <c r="E836" s="11" t="s">
        <v>605</v>
      </c>
    </row>
    <row r="837" spans="1:5" x14ac:dyDescent="0.2">
      <c r="A837" s="9" t="str">
        <f t="shared" si="26"/>
        <v>IIEE-SJ - 211002</v>
      </c>
      <c r="B837" s="11">
        <v>211002</v>
      </c>
      <c r="E837" s="11" t="s">
        <v>606</v>
      </c>
    </row>
    <row r="838" spans="1:5" x14ac:dyDescent="0.2">
      <c r="A838" s="9" t="str">
        <f t="shared" si="26"/>
        <v>IIEE-SJ - 211003</v>
      </c>
      <c r="B838" s="11">
        <v>211003</v>
      </c>
      <c r="E838" s="11" t="s">
        <v>607</v>
      </c>
    </row>
    <row r="839" spans="1:5" x14ac:dyDescent="0.2">
      <c r="A839" s="9" t="str">
        <f t="shared" si="26"/>
        <v>IIEE-SJ - 211004</v>
      </c>
      <c r="B839" s="11">
        <v>211004</v>
      </c>
      <c r="E839" s="11" t="s">
        <v>608</v>
      </c>
    </row>
    <row r="840" spans="1:5" x14ac:dyDescent="0.2">
      <c r="A840" s="9" t="str">
        <f t="shared" si="26"/>
        <v>IIEE-SJ - 211005</v>
      </c>
      <c r="B840" s="11">
        <v>211005</v>
      </c>
      <c r="E840" s="11" t="s">
        <v>609</v>
      </c>
    </row>
    <row r="841" spans="1:5" x14ac:dyDescent="0.2">
      <c r="A841" s="9" t="str">
        <f t="shared" si="26"/>
        <v>IIEE-SJ - 211006</v>
      </c>
      <c r="B841" s="11">
        <v>211006</v>
      </c>
      <c r="E841" s="11" t="s">
        <v>713</v>
      </c>
    </row>
    <row r="842" spans="1:5" x14ac:dyDescent="0.2">
      <c r="A842" s="9" t="str">
        <f t="shared" si="26"/>
        <v>IIEE-SJ - 211007</v>
      </c>
      <c r="B842" s="11">
        <v>211007</v>
      </c>
      <c r="E842" s="11" t="s">
        <v>714</v>
      </c>
    </row>
    <row r="843" spans="1:5" x14ac:dyDescent="0.2">
      <c r="A843" s="9" t="str">
        <f t="shared" si="26"/>
        <v>IIEE-SJ - 211008</v>
      </c>
      <c r="B843" s="11">
        <v>211008</v>
      </c>
      <c r="E843" s="11" t="s">
        <v>882</v>
      </c>
    </row>
    <row r="844" spans="1:5" x14ac:dyDescent="0.2">
      <c r="A844" s="9" t="str">
        <f t="shared" si="26"/>
        <v>IIEE-SJ - 211009</v>
      </c>
      <c r="B844" s="11">
        <v>211009</v>
      </c>
      <c r="E844" s="11" t="s">
        <v>883</v>
      </c>
    </row>
    <row r="845" spans="1:5" x14ac:dyDescent="0.2">
      <c r="A845" s="9"/>
    </row>
    <row r="846" spans="1:5" x14ac:dyDescent="0.2">
      <c r="A846" s="9" t="str">
        <f>CONCATENATE("IIEE-SJ - ",B846)</f>
        <v>IIEE-SJ - 212</v>
      </c>
      <c r="B846" s="11">
        <v>212</v>
      </c>
      <c r="E846" s="11" t="s">
        <v>884</v>
      </c>
    </row>
    <row r="847" spans="1:5" x14ac:dyDescent="0.2">
      <c r="A847" s="9" t="str">
        <f>CONCATENATE("IIEE-SJ - ",B847)</f>
        <v>IIEE-SJ - 212001</v>
      </c>
      <c r="B847" s="11">
        <v>212001</v>
      </c>
      <c r="E847" s="11" t="s">
        <v>610</v>
      </c>
    </row>
    <row r="848" spans="1:5" x14ac:dyDescent="0.2">
      <c r="A848" s="9" t="str">
        <f>CONCATENATE("IIEE-SJ - ",B848)</f>
        <v>IIEE-SJ - 212002</v>
      </c>
      <c r="B848" s="11">
        <v>212002</v>
      </c>
      <c r="E848" s="11" t="s">
        <v>611</v>
      </c>
    </row>
    <row r="849" spans="1:5" x14ac:dyDescent="0.2">
      <c r="A849" s="9" t="str">
        <f>CONCATENATE("IIEE-SJ - ",B849)</f>
        <v>IIEE-SJ - 212003</v>
      </c>
      <c r="B849" s="11">
        <v>212003</v>
      </c>
      <c r="E849" s="11" t="s">
        <v>612</v>
      </c>
    </row>
    <row r="850" spans="1:5" x14ac:dyDescent="0.2">
      <c r="A850" s="9" t="str">
        <f>CONCATENATE("IIEE-SJ - ",B850)</f>
        <v>IIEE-SJ - 212004</v>
      </c>
      <c r="B850" s="11">
        <v>212004</v>
      </c>
      <c r="E850" s="11" t="s">
        <v>613</v>
      </c>
    </row>
    <row r="851" spans="1:5" x14ac:dyDescent="0.2">
      <c r="A851" s="9"/>
    </row>
    <row r="852" spans="1:5" x14ac:dyDescent="0.2">
      <c r="A852" s="9" t="str">
        <f t="shared" ref="A852:A860" si="27">CONCATENATE("IIEE-SJ - ",B852)</f>
        <v>IIEE-SJ - 213</v>
      </c>
      <c r="B852" s="11">
        <v>213</v>
      </c>
      <c r="E852" s="11" t="s">
        <v>885</v>
      </c>
    </row>
    <row r="853" spans="1:5" x14ac:dyDescent="0.2">
      <c r="A853" s="9" t="str">
        <f t="shared" si="27"/>
        <v>IIEE-SJ - 213001</v>
      </c>
      <c r="B853" s="11">
        <v>213001</v>
      </c>
      <c r="E853" s="11" t="s">
        <v>614</v>
      </c>
    </row>
    <row r="854" spans="1:5" x14ac:dyDescent="0.2">
      <c r="A854" s="9" t="str">
        <f t="shared" si="27"/>
        <v>IIEE-SJ - 213002</v>
      </c>
      <c r="B854" s="11">
        <v>213002</v>
      </c>
      <c r="E854" s="11" t="s">
        <v>615</v>
      </c>
    </row>
    <row r="855" spans="1:5" x14ac:dyDescent="0.2">
      <c r="A855" s="9" t="str">
        <f t="shared" si="27"/>
        <v>IIEE-SJ - 213003</v>
      </c>
      <c r="B855" s="11">
        <v>213003</v>
      </c>
      <c r="E855" s="11" t="s">
        <v>616</v>
      </c>
    </row>
    <row r="856" spans="1:5" x14ac:dyDescent="0.2">
      <c r="A856" s="9" t="str">
        <f t="shared" si="27"/>
        <v>IIEE-SJ - 213004</v>
      </c>
      <c r="B856" s="11">
        <v>213004</v>
      </c>
      <c r="E856" s="11" t="s">
        <v>617</v>
      </c>
    </row>
    <row r="857" spans="1:5" x14ac:dyDescent="0.2">
      <c r="A857" s="9" t="str">
        <f t="shared" si="27"/>
        <v>IIEE-SJ - 213005</v>
      </c>
      <c r="B857" s="11">
        <v>213005</v>
      </c>
      <c r="E857" s="11" t="s">
        <v>618</v>
      </c>
    </row>
    <row r="858" spans="1:5" x14ac:dyDescent="0.2">
      <c r="A858" s="9" t="str">
        <f t="shared" si="27"/>
        <v>IIEE-SJ - 213006</v>
      </c>
      <c r="B858" s="11">
        <v>213006</v>
      </c>
      <c r="E858" s="11" t="s">
        <v>619</v>
      </c>
    </row>
    <row r="859" spans="1:5" x14ac:dyDescent="0.2">
      <c r="A859" s="9" t="str">
        <f t="shared" si="27"/>
        <v>IIEE-SJ - 213007</v>
      </c>
      <c r="B859" s="11">
        <v>213007</v>
      </c>
      <c r="E859" s="11" t="s">
        <v>620</v>
      </c>
    </row>
    <row r="860" spans="1:5" x14ac:dyDescent="0.2">
      <c r="A860" s="9" t="str">
        <f t="shared" si="27"/>
        <v>IIEE-SJ - 213008</v>
      </c>
      <c r="B860" s="11">
        <v>213008</v>
      </c>
      <c r="E860" s="11" t="s">
        <v>621</v>
      </c>
    </row>
    <row r="861" spans="1:5" x14ac:dyDescent="0.2">
      <c r="A861" s="9"/>
    </row>
    <row r="862" spans="1:5" x14ac:dyDescent="0.2">
      <c r="A862" s="9" t="str">
        <f t="shared" ref="A862:A868" si="28">CONCATENATE("IIEE-SJ - ",B862)</f>
        <v>IIEE-SJ - 214</v>
      </c>
      <c r="B862" s="11">
        <v>214</v>
      </c>
      <c r="E862" s="11" t="s">
        <v>886</v>
      </c>
    </row>
    <row r="863" spans="1:5" x14ac:dyDescent="0.2">
      <c r="A863" s="9" t="str">
        <f t="shared" si="28"/>
        <v>IIEE-SJ - 214001</v>
      </c>
      <c r="B863" s="11">
        <v>214001</v>
      </c>
      <c r="E863" s="11" t="s">
        <v>622</v>
      </c>
    </row>
    <row r="864" spans="1:5" x14ac:dyDescent="0.2">
      <c r="A864" s="9" t="str">
        <f t="shared" si="28"/>
        <v>IIEE-SJ - 214002</v>
      </c>
      <c r="B864" s="11">
        <v>214002</v>
      </c>
      <c r="E864" s="11" t="s">
        <v>623</v>
      </c>
    </row>
    <row r="865" spans="1:5" x14ac:dyDescent="0.2">
      <c r="A865" s="9" t="str">
        <f t="shared" si="28"/>
        <v>IIEE-SJ - 214003</v>
      </c>
      <c r="B865" s="11">
        <v>214003</v>
      </c>
      <c r="E865" s="11" t="s">
        <v>624</v>
      </c>
    </row>
    <row r="866" spans="1:5" x14ac:dyDescent="0.2">
      <c r="A866" s="9" t="str">
        <f t="shared" si="28"/>
        <v>IIEE-SJ - 214004</v>
      </c>
      <c r="B866" s="11">
        <v>214004</v>
      </c>
      <c r="E866" s="11" t="s">
        <v>625</v>
      </c>
    </row>
    <row r="867" spans="1:5" x14ac:dyDescent="0.2">
      <c r="A867" s="9" t="str">
        <f t="shared" si="28"/>
        <v>IIEE-SJ - 214005</v>
      </c>
      <c r="B867" s="11">
        <v>214005</v>
      </c>
      <c r="E867" s="11" t="s">
        <v>626</v>
      </c>
    </row>
    <row r="868" spans="1:5" x14ac:dyDescent="0.2">
      <c r="A868" s="9" t="str">
        <f t="shared" si="28"/>
        <v>IIEE-SJ - 214006</v>
      </c>
      <c r="B868" s="11">
        <v>214006</v>
      </c>
      <c r="E868" s="11" t="s">
        <v>627</v>
      </c>
    </row>
    <row r="869" spans="1:5" x14ac:dyDescent="0.2">
      <c r="A869" s="9"/>
    </row>
    <row r="870" spans="1:5" x14ac:dyDescent="0.2">
      <c r="A870" s="9" t="str">
        <f t="shared" ref="A870:A876" si="29">CONCATENATE("IIEE-SJ - ",B870)</f>
        <v>IIEE-SJ - 215</v>
      </c>
      <c r="B870" s="11">
        <v>215</v>
      </c>
      <c r="E870" s="11" t="s">
        <v>887</v>
      </c>
    </row>
    <row r="871" spans="1:5" x14ac:dyDescent="0.2">
      <c r="A871" s="9" t="str">
        <f t="shared" si="29"/>
        <v>IIEE-SJ - 215001</v>
      </c>
      <c r="B871" s="11">
        <v>215001</v>
      </c>
      <c r="E871" s="11" t="s">
        <v>628</v>
      </c>
    </row>
    <row r="872" spans="1:5" x14ac:dyDescent="0.2">
      <c r="A872" s="9" t="str">
        <f t="shared" si="29"/>
        <v>IIEE-SJ - 215002</v>
      </c>
      <c r="B872" s="11">
        <v>215002</v>
      </c>
      <c r="E872" s="11" t="s">
        <v>629</v>
      </c>
    </row>
    <row r="873" spans="1:5" x14ac:dyDescent="0.2">
      <c r="A873" s="9" t="str">
        <f t="shared" si="29"/>
        <v>IIEE-SJ - 215003</v>
      </c>
      <c r="B873" s="11">
        <v>215003</v>
      </c>
      <c r="E873" s="11" t="s">
        <v>630</v>
      </c>
    </row>
    <row r="874" spans="1:5" x14ac:dyDescent="0.2">
      <c r="A874" s="9" t="str">
        <f t="shared" si="29"/>
        <v>IIEE-SJ - 215004</v>
      </c>
      <c r="B874" s="11">
        <v>215004</v>
      </c>
      <c r="E874" s="11" t="s">
        <v>631</v>
      </c>
    </row>
    <row r="875" spans="1:5" x14ac:dyDescent="0.2">
      <c r="A875" s="9" t="str">
        <f t="shared" si="29"/>
        <v>IIEE-SJ - 215005</v>
      </c>
      <c r="B875" s="11">
        <v>215005</v>
      </c>
      <c r="E875" s="11" t="s">
        <v>632</v>
      </c>
    </row>
    <row r="876" spans="1:5" x14ac:dyDescent="0.2">
      <c r="A876" s="9" t="str">
        <f t="shared" si="29"/>
        <v>IIEE-SJ - 215006</v>
      </c>
      <c r="B876" s="11">
        <v>215006</v>
      </c>
      <c r="E876" s="11" t="s">
        <v>633</v>
      </c>
    </row>
    <row r="877" spans="1:5" x14ac:dyDescent="0.2">
      <c r="A877" s="9"/>
    </row>
    <row r="878" spans="1:5" x14ac:dyDescent="0.2">
      <c r="A878" s="9" t="str">
        <f t="shared" ref="A878:A883" si="30">CONCATENATE("IIEE-SJ - ",B878)</f>
        <v>IIEE-SJ - 216</v>
      </c>
      <c r="B878" s="11">
        <v>216</v>
      </c>
      <c r="E878" s="11" t="s">
        <v>888</v>
      </c>
    </row>
    <row r="879" spans="1:5" x14ac:dyDescent="0.2">
      <c r="A879" s="9" t="str">
        <f t="shared" si="30"/>
        <v>IIEE-SJ - 216001</v>
      </c>
      <c r="B879" s="11">
        <v>216001</v>
      </c>
      <c r="E879" s="11" t="s">
        <v>634</v>
      </c>
    </row>
    <row r="880" spans="1:5" x14ac:dyDescent="0.2">
      <c r="A880" s="9" t="str">
        <f t="shared" si="30"/>
        <v>IIEE-SJ - 216002</v>
      </c>
      <c r="B880" s="11">
        <v>216002</v>
      </c>
      <c r="E880" s="11" t="s">
        <v>635</v>
      </c>
    </row>
    <row r="881" spans="1:5" x14ac:dyDescent="0.2">
      <c r="A881" s="9" t="str">
        <f t="shared" si="30"/>
        <v>IIEE-SJ - 216003</v>
      </c>
      <c r="B881" s="11">
        <v>216003</v>
      </c>
      <c r="E881" s="11" t="s">
        <v>636</v>
      </c>
    </row>
    <row r="882" spans="1:5" x14ac:dyDescent="0.2">
      <c r="A882" s="9" t="str">
        <f t="shared" si="30"/>
        <v>IIEE-SJ - 216004</v>
      </c>
      <c r="B882" s="11">
        <v>216004</v>
      </c>
      <c r="E882" s="11" t="s">
        <v>637</v>
      </c>
    </row>
    <row r="883" spans="1:5" x14ac:dyDescent="0.2">
      <c r="A883" s="9" t="str">
        <f t="shared" si="30"/>
        <v>IIEE-SJ - 216005</v>
      </c>
      <c r="B883" s="11">
        <v>216005</v>
      </c>
      <c r="E883" s="11" t="s">
        <v>638</v>
      </c>
    </row>
    <row r="884" spans="1:5" x14ac:dyDescent="0.2">
      <c r="A884" s="9"/>
    </row>
    <row r="885" spans="1:5" x14ac:dyDescent="0.2">
      <c r="A885" s="9" t="str">
        <f>CONCATENATE("IIEE-SJ - ",B885)</f>
        <v>IIEE-SJ - 217</v>
      </c>
      <c r="B885" s="11">
        <v>217</v>
      </c>
      <c r="E885" s="11" t="s">
        <v>889</v>
      </c>
    </row>
    <row r="886" spans="1:5" x14ac:dyDescent="0.2">
      <c r="A886" s="9" t="str">
        <f>CONCATENATE("IIEE-SJ - ",B886)</f>
        <v>IIEE-SJ - 217001</v>
      </c>
      <c r="B886" s="11">
        <v>217001</v>
      </c>
      <c r="E886" s="11" t="s">
        <v>639</v>
      </c>
    </row>
    <row r="887" spans="1:5" x14ac:dyDescent="0.2">
      <c r="A887" s="9" t="str">
        <f>CONCATENATE("IIEE-SJ - ",B887)</f>
        <v>IIEE-SJ - 217002</v>
      </c>
      <c r="B887" s="11">
        <v>217002</v>
      </c>
      <c r="E887" s="11" t="s">
        <v>640</v>
      </c>
    </row>
    <row r="888" spans="1:5" x14ac:dyDescent="0.2">
      <c r="A888" s="9"/>
    </row>
    <row r="889" spans="1:5" x14ac:dyDescent="0.2">
      <c r="A889" s="9" t="str">
        <f>CONCATENATE("IIEE-SJ - ",B889)</f>
        <v>IIEE-SJ - 218</v>
      </c>
      <c r="B889" s="11">
        <v>218</v>
      </c>
      <c r="E889" s="11" t="s">
        <v>837</v>
      </c>
    </row>
    <row r="890" spans="1:5" x14ac:dyDescent="0.2">
      <c r="A890" s="9" t="str">
        <f>CONCATENATE("IIEE-SJ - ",B890)</f>
        <v>IIEE-SJ - 218001</v>
      </c>
      <c r="B890" s="11">
        <v>218001</v>
      </c>
      <c r="E890" s="11" t="s">
        <v>641</v>
      </c>
    </row>
    <row r="891" spans="1:5" x14ac:dyDescent="0.2">
      <c r="A891" s="9" t="str">
        <f>CONCATENATE("IIEE-SJ - ",B891)</f>
        <v>IIEE-SJ - 218002</v>
      </c>
      <c r="B891" s="11">
        <v>218002</v>
      </c>
      <c r="E891" s="11" t="s">
        <v>642</v>
      </c>
    </row>
    <row r="892" spans="1:5" x14ac:dyDescent="0.2">
      <c r="A892" s="9" t="str">
        <f>CONCATENATE("IIEE-SJ - ",B892)</f>
        <v>IIEE-SJ - 218003</v>
      </c>
      <c r="B892" s="11">
        <v>218003</v>
      </c>
      <c r="E892" s="11" t="s">
        <v>643</v>
      </c>
    </row>
    <row r="893" spans="1:5" x14ac:dyDescent="0.2">
      <c r="A893" s="9"/>
    </row>
    <row r="894" spans="1:5" x14ac:dyDescent="0.2">
      <c r="A894" s="9" t="str">
        <f t="shared" ref="A894:A899" si="31">CONCATENATE("IIEE-SJ - ",B894)</f>
        <v>IIEE-SJ - 219</v>
      </c>
      <c r="B894" s="11">
        <v>219</v>
      </c>
      <c r="E894" s="11" t="s">
        <v>890</v>
      </c>
    </row>
    <row r="895" spans="1:5" x14ac:dyDescent="0.2">
      <c r="A895" s="9" t="str">
        <f t="shared" si="31"/>
        <v>IIEE-SJ - 219001</v>
      </c>
      <c r="B895" s="11">
        <v>219001</v>
      </c>
      <c r="E895" s="11" t="s">
        <v>891</v>
      </c>
    </row>
    <row r="896" spans="1:5" x14ac:dyDescent="0.2">
      <c r="A896" s="9" t="str">
        <f t="shared" si="31"/>
        <v>IIEE-SJ - 219002</v>
      </c>
      <c r="B896" s="11">
        <v>219002</v>
      </c>
      <c r="E896" s="11" t="s">
        <v>892</v>
      </c>
    </row>
    <row r="897" spans="1:5" x14ac:dyDescent="0.2">
      <c r="A897" s="9" t="str">
        <f t="shared" si="31"/>
        <v>IIEE-SJ - 219003</v>
      </c>
      <c r="B897" s="11">
        <v>219003</v>
      </c>
      <c r="E897" s="11" t="s">
        <v>893</v>
      </c>
    </row>
    <row r="898" spans="1:5" x14ac:dyDescent="0.2">
      <c r="A898" s="9" t="str">
        <f t="shared" si="31"/>
        <v>IIEE-SJ - 219004</v>
      </c>
      <c r="B898" s="11">
        <v>219004</v>
      </c>
      <c r="E898" s="11" t="s">
        <v>894</v>
      </c>
    </row>
    <row r="899" spans="1:5" x14ac:dyDescent="0.2">
      <c r="A899" s="9" t="str">
        <f t="shared" si="31"/>
        <v>IIEE-SJ - 219005</v>
      </c>
      <c r="B899" s="11">
        <v>219005</v>
      </c>
      <c r="E899" s="11" t="s">
        <v>895</v>
      </c>
    </row>
    <row r="900" spans="1:5" x14ac:dyDescent="0.2">
      <c r="A900" s="9"/>
    </row>
    <row r="901" spans="1:5" x14ac:dyDescent="0.2">
      <c r="A901" s="9" t="str">
        <f t="shared" ref="A901:A907" si="32">CONCATENATE("IIEE-SJ - ",B901)</f>
        <v>IIEE-SJ - 220</v>
      </c>
      <c r="B901" s="11">
        <v>220</v>
      </c>
      <c r="E901" s="11" t="s">
        <v>896</v>
      </c>
    </row>
    <row r="902" spans="1:5" x14ac:dyDescent="0.2">
      <c r="A902" s="9" t="str">
        <f t="shared" si="32"/>
        <v>IIEE-SJ - 220001</v>
      </c>
      <c r="B902" s="11">
        <v>220001</v>
      </c>
      <c r="E902" s="11" t="s">
        <v>644</v>
      </c>
    </row>
    <row r="903" spans="1:5" x14ac:dyDescent="0.2">
      <c r="A903" s="9" t="str">
        <f t="shared" si="32"/>
        <v>IIEE-SJ - 220002</v>
      </c>
      <c r="B903" s="11">
        <v>220002</v>
      </c>
      <c r="E903" s="11" t="s">
        <v>645</v>
      </c>
    </row>
    <row r="904" spans="1:5" x14ac:dyDescent="0.2">
      <c r="A904" s="9" t="str">
        <f t="shared" si="32"/>
        <v>IIEE-SJ - 220003</v>
      </c>
      <c r="B904" s="11">
        <v>220003</v>
      </c>
      <c r="E904" s="11" t="s">
        <v>646</v>
      </c>
    </row>
    <row r="905" spans="1:5" x14ac:dyDescent="0.2">
      <c r="A905" s="9" t="str">
        <f t="shared" si="32"/>
        <v>IIEE-SJ - 220004</v>
      </c>
      <c r="B905" s="11">
        <v>220004</v>
      </c>
      <c r="E905" s="11" t="s">
        <v>647</v>
      </c>
    </row>
    <row r="906" spans="1:5" x14ac:dyDescent="0.2">
      <c r="A906" s="9" t="str">
        <f t="shared" si="32"/>
        <v>IIEE-SJ - 220005</v>
      </c>
      <c r="B906" s="11">
        <v>220005</v>
      </c>
      <c r="E906" s="11" t="s">
        <v>648</v>
      </c>
    </row>
    <row r="907" spans="1:5" x14ac:dyDescent="0.2">
      <c r="A907" s="9" t="str">
        <f t="shared" si="32"/>
        <v>IIEE-SJ - 220006</v>
      </c>
      <c r="B907" s="11">
        <v>220006</v>
      </c>
      <c r="E907" s="11" t="s">
        <v>649</v>
      </c>
    </row>
    <row r="908" spans="1:5" x14ac:dyDescent="0.2">
      <c r="A908" s="9"/>
    </row>
    <row r="909" spans="1:5" x14ac:dyDescent="0.2">
      <c r="A909" s="9" t="str">
        <f t="shared" ref="A909:A915" si="33">CONCATENATE("IIEE-SJ - ",B909)</f>
        <v>IIEE-SJ - 221</v>
      </c>
      <c r="B909" s="11">
        <v>221</v>
      </c>
      <c r="E909" s="11" t="s">
        <v>897</v>
      </c>
    </row>
    <row r="910" spans="1:5" x14ac:dyDescent="0.2">
      <c r="A910" s="9" t="str">
        <f t="shared" si="33"/>
        <v>IIEE-SJ - 221001</v>
      </c>
      <c r="B910" s="11">
        <v>221001</v>
      </c>
      <c r="E910" s="11" t="s">
        <v>650</v>
      </c>
    </row>
    <row r="911" spans="1:5" x14ac:dyDescent="0.2">
      <c r="A911" s="9" t="str">
        <f t="shared" si="33"/>
        <v>IIEE-SJ - 221002</v>
      </c>
      <c r="B911" s="11">
        <v>221002</v>
      </c>
      <c r="E911" s="11" t="s">
        <v>651</v>
      </c>
    </row>
    <row r="912" spans="1:5" x14ac:dyDescent="0.2">
      <c r="A912" s="9" t="str">
        <f t="shared" si="33"/>
        <v>IIEE-SJ - 221003</v>
      </c>
      <c r="B912" s="11">
        <v>221003</v>
      </c>
      <c r="E912" s="11" t="s">
        <v>652</v>
      </c>
    </row>
    <row r="913" spans="1:5" x14ac:dyDescent="0.2">
      <c r="A913" s="9" t="str">
        <f t="shared" si="33"/>
        <v>IIEE-SJ - 221004</v>
      </c>
      <c r="B913" s="11">
        <v>221004</v>
      </c>
      <c r="E913" s="11" t="s">
        <v>653</v>
      </c>
    </row>
    <row r="914" spans="1:5" x14ac:dyDescent="0.2">
      <c r="A914" s="9" t="str">
        <f t="shared" si="33"/>
        <v>IIEE-SJ - 221005</v>
      </c>
      <c r="B914" s="11">
        <v>221005</v>
      </c>
      <c r="E914" s="11" t="s">
        <v>654</v>
      </c>
    </row>
    <row r="915" spans="1:5" x14ac:dyDescent="0.2">
      <c r="A915" s="9" t="str">
        <f t="shared" si="33"/>
        <v>IIEE-SJ - 221006</v>
      </c>
      <c r="B915" s="11">
        <v>221006</v>
      </c>
      <c r="E915" s="11" t="s">
        <v>655</v>
      </c>
    </row>
    <row r="916" spans="1:5" x14ac:dyDescent="0.2">
      <c r="A916" s="9"/>
    </row>
    <row r="917" spans="1:5" x14ac:dyDescent="0.2">
      <c r="A917" s="9" t="str">
        <f t="shared" ref="A917:A933" si="34">CONCATENATE("IIEE-SJ - ",B917)</f>
        <v>IIEE-SJ - 222</v>
      </c>
      <c r="B917" s="11">
        <v>222</v>
      </c>
      <c r="E917" s="11" t="s">
        <v>898</v>
      </c>
    </row>
    <row r="918" spans="1:5" x14ac:dyDescent="0.2">
      <c r="A918" s="9" t="str">
        <f t="shared" si="34"/>
        <v>IIEE-SJ - 222001</v>
      </c>
      <c r="B918" s="11">
        <v>222001</v>
      </c>
      <c r="E918" s="11" t="s">
        <v>656</v>
      </c>
    </row>
    <row r="919" spans="1:5" x14ac:dyDescent="0.2">
      <c r="A919" s="9" t="str">
        <f t="shared" si="34"/>
        <v>IIEE-SJ - 222002</v>
      </c>
      <c r="B919" s="11">
        <v>222002</v>
      </c>
      <c r="E919" s="11" t="s">
        <v>657</v>
      </c>
    </row>
    <row r="920" spans="1:5" x14ac:dyDescent="0.2">
      <c r="A920" s="9" t="str">
        <f t="shared" si="34"/>
        <v>IIEE-SJ - 222003</v>
      </c>
      <c r="B920" s="11">
        <v>222003</v>
      </c>
      <c r="E920" s="11" t="s">
        <v>658</v>
      </c>
    </row>
    <row r="921" spans="1:5" x14ac:dyDescent="0.2">
      <c r="A921" s="9" t="str">
        <f t="shared" si="34"/>
        <v>IIEE-SJ - 222004</v>
      </c>
      <c r="B921" s="11">
        <v>222004</v>
      </c>
      <c r="E921" s="11" t="s">
        <v>659</v>
      </c>
    </row>
    <row r="922" spans="1:5" x14ac:dyDescent="0.2">
      <c r="A922" s="9" t="str">
        <f t="shared" si="34"/>
        <v>IIEE-SJ - 222005</v>
      </c>
      <c r="B922" s="11">
        <v>222005</v>
      </c>
      <c r="E922" s="11" t="s">
        <v>660</v>
      </c>
    </row>
    <row r="923" spans="1:5" x14ac:dyDescent="0.2">
      <c r="A923" s="9" t="str">
        <f t="shared" si="34"/>
        <v>IIEE-SJ - 222006</v>
      </c>
      <c r="B923" s="11">
        <v>222006</v>
      </c>
      <c r="E923" s="11" t="s">
        <v>661</v>
      </c>
    </row>
    <row r="924" spans="1:5" x14ac:dyDescent="0.2">
      <c r="A924" s="9" t="str">
        <f t="shared" si="34"/>
        <v>IIEE-SJ - 222007</v>
      </c>
      <c r="B924" s="11">
        <v>222007</v>
      </c>
      <c r="E924" s="11" t="s">
        <v>662</v>
      </c>
    </row>
    <row r="925" spans="1:5" x14ac:dyDescent="0.2">
      <c r="A925" s="9" t="str">
        <f t="shared" si="34"/>
        <v>IIEE-SJ - 222008</v>
      </c>
      <c r="B925" s="11">
        <v>222008</v>
      </c>
      <c r="E925" s="11" t="s">
        <v>663</v>
      </c>
    </row>
    <row r="926" spans="1:5" x14ac:dyDescent="0.2">
      <c r="A926" s="9" t="str">
        <f t="shared" si="34"/>
        <v>IIEE-SJ - 222009</v>
      </c>
      <c r="B926" s="11">
        <v>222009</v>
      </c>
      <c r="E926" s="11" t="s">
        <v>664</v>
      </c>
    </row>
    <row r="927" spans="1:5" x14ac:dyDescent="0.2">
      <c r="A927" s="9" t="str">
        <f t="shared" si="34"/>
        <v>IIEE-SJ - 222010</v>
      </c>
      <c r="B927" s="11">
        <v>222010</v>
      </c>
      <c r="E927" s="11" t="s">
        <v>665</v>
      </c>
    </row>
    <row r="928" spans="1:5" x14ac:dyDescent="0.2">
      <c r="A928" s="9" t="str">
        <f t="shared" si="34"/>
        <v>IIEE-SJ - 222011</v>
      </c>
      <c r="B928" s="11">
        <v>222011</v>
      </c>
      <c r="E928" s="11" t="s">
        <v>666</v>
      </c>
    </row>
    <row r="929" spans="1:5" x14ac:dyDescent="0.2">
      <c r="A929" s="9" t="str">
        <f t="shared" si="34"/>
        <v>IIEE-SJ - 222012</v>
      </c>
      <c r="B929" s="11">
        <v>222012</v>
      </c>
      <c r="E929" s="11" t="s">
        <v>667</v>
      </c>
    </row>
    <row r="930" spans="1:5" x14ac:dyDescent="0.2">
      <c r="A930" s="9" t="str">
        <f t="shared" si="34"/>
        <v>IIEE-SJ - 222013</v>
      </c>
      <c r="B930" s="11">
        <v>222013</v>
      </c>
      <c r="E930" s="11" t="s">
        <v>668</v>
      </c>
    </row>
    <row r="931" spans="1:5" x14ac:dyDescent="0.2">
      <c r="A931" s="9" t="str">
        <f t="shared" si="34"/>
        <v>IIEE-SJ - 222014</v>
      </c>
      <c r="B931" s="11">
        <v>222014</v>
      </c>
      <c r="E931" s="11" t="s">
        <v>669</v>
      </c>
    </row>
    <row r="932" spans="1:5" x14ac:dyDescent="0.2">
      <c r="A932" s="9" t="str">
        <f t="shared" si="34"/>
        <v>IIEE-SJ - 222015</v>
      </c>
      <c r="B932" s="11">
        <v>222015</v>
      </c>
      <c r="E932" s="11" t="s">
        <v>670</v>
      </c>
    </row>
    <row r="933" spans="1:5" x14ac:dyDescent="0.2">
      <c r="A933" s="9" t="str">
        <f t="shared" si="34"/>
        <v>IIEE-SJ - 222016</v>
      </c>
      <c r="B933" s="11">
        <v>222016</v>
      </c>
      <c r="E933" s="11" t="s">
        <v>671</v>
      </c>
    </row>
    <row r="934" spans="1:5" x14ac:dyDescent="0.2">
      <c r="A934" s="9"/>
    </row>
    <row r="935" spans="1:5" x14ac:dyDescent="0.2">
      <c r="A935" s="9" t="str">
        <f t="shared" ref="A935:A945" si="35">CONCATENATE("IIEE-SJ - ",B935)</f>
        <v>IIEE-SJ - 223</v>
      </c>
      <c r="B935" s="11">
        <v>223</v>
      </c>
      <c r="E935" s="11" t="s">
        <v>899</v>
      </c>
    </row>
    <row r="936" spans="1:5" x14ac:dyDescent="0.2">
      <c r="A936" s="9" t="str">
        <f t="shared" si="35"/>
        <v>IIEE-SJ - 223001</v>
      </c>
      <c r="B936" s="11">
        <v>223001</v>
      </c>
      <c r="E936" s="11" t="s">
        <v>672</v>
      </c>
    </row>
    <row r="937" spans="1:5" x14ac:dyDescent="0.2">
      <c r="A937" s="9" t="str">
        <f t="shared" si="35"/>
        <v>IIEE-SJ - 223002</v>
      </c>
      <c r="B937" s="11">
        <v>223002</v>
      </c>
      <c r="E937" s="11" t="s">
        <v>673</v>
      </c>
    </row>
    <row r="938" spans="1:5" x14ac:dyDescent="0.2">
      <c r="A938" s="9" t="str">
        <f t="shared" si="35"/>
        <v>IIEE-SJ - 223003</v>
      </c>
      <c r="B938" s="11">
        <v>223003</v>
      </c>
      <c r="E938" s="11" t="s">
        <v>674</v>
      </c>
    </row>
    <row r="939" spans="1:5" x14ac:dyDescent="0.2">
      <c r="A939" s="9" t="str">
        <f t="shared" si="35"/>
        <v>IIEE-SJ - 223004</v>
      </c>
      <c r="B939" s="11">
        <v>223004</v>
      </c>
      <c r="E939" s="11" t="s">
        <v>675</v>
      </c>
    </row>
    <row r="940" spans="1:5" x14ac:dyDescent="0.2">
      <c r="A940" s="9" t="str">
        <f t="shared" si="35"/>
        <v>IIEE-SJ - 223005</v>
      </c>
      <c r="B940" s="11">
        <v>223005</v>
      </c>
      <c r="E940" s="11" t="s">
        <v>676</v>
      </c>
    </row>
    <row r="941" spans="1:5" x14ac:dyDescent="0.2">
      <c r="A941" s="9" t="str">
        <f t="shared" si="35"/>
        <v>IIEE-SJ - 223006</v>
      </c>
      <c r="B941" s="11">
        <v>223006</v>
      </c>
      <c r="E941" s="11" t="s">
        <v>677</v>
      </c>
    </row>
    <row r="942" spans="1:5" x14ac:dyDescent="0.2">
      <c r="A942" s="9" t="str">
        <f t="shared" si="35"/>
        <v>IIEE-SJ - 223007</v>
      </c>
      <c r="B942" s="11">
        <v>223007</v>
      </c>
      <c r="E942" s="11" t="s">
        <v>678</v>
      </c>
    </row>
    <row r="943" spans="1:5" x14ac:dyDescent="0.2">
      <c r="A943" s="9" t="str">
        <f t="shared" si="35"/>
        <v>IIEE-SJ - 223008</v>
      </c>
      <c r="B943" s="11">
        <v>223008</v>
      </c>
      <c r="E943" s="11" t="s">
        <v>679</v>
      </c>
    </row>
    <row r="944" spans="1:5" x14ac:dyDescent="0.2">
      <c r="A944" s="9" t="str">
        <f t="shared" si="35"/>
        <v>IIEE-SJ - 223009</v>
      </c>
      <c r="B944" s="11">
        <v>223009</v>
      </c>
      <c r="E944" s="11" t="s">
        <v>680</v>
      </c>
    </row>
    <row r="945" spans="1:5" x14ac:dyDescent="0.2">
      <c r="A945" s="9" t="str">
        <f t="shared" si="35"/>
        <v>IIEE-SJ - 223010</v>
      </c>
      <c r="B945" s="11">
        <v>223010</v>
      </c>
      <c r="E945" s="11" t="s">
        <v>681</v>
      </c>
    </row>
    <row r="946" spans="1:5" x14ac:dyDescent="0.2">
      <c r="A946" s="9"/>
    </row>
    <row r="947" spans="1:5" x14ac:dyDescent="0.2">
      <c r="A947" s="9" t="str">
        <f>CONCATENATE("IIEE-SJ - ",B947)</f>
        <v>IIEE-SJ - 224</v>
      </c>
      <c r="B947" s="11">
        <v>224</v>
      </c>
      <c r="E947" s="11" t="s">
        <v>302</v>
      </c>
    </row>
    <row r="948" spans="1:5" x14ac:dyDescent="0.2">
      <c r="A948" s="9" t="str">
        <f>CONCATENATE("IIEE-SJ - ",B948)</f>
        <v>IIEE-SJ - 224001</v>
      </c>
      <c r="B948" s="11">
        <v>224001</v>
      </c>
      <c r="E948" s="11" t="s">
        <v>686</v>
      </c>
    </row>
    <row r="949" spans="1:5" x14ac:dyDescent="0.2">
      <c r="A949" s="9" t="str">
        <f>CONCATENATE("IIEE-SJ - ",B949)</f>
        <v>IIEE-SJ - 224002</v>
      </c>
      <c r="B949" s="11">
        <v>224002</v>
      </c>
      <c r="E949" s="11" t="s">
        <v>687</v>
      </c>
    </row>
    <row r="950" spans="1:5" x14ac:dyDescent="0.2">
      <c r="A950" s="9"/>
    </row>
    <row r="951" spans="1:5" x14ac:dyDescent="0.2">
      <c r="A951" s="9" t="str">
        <f>CONCATENATE("IIEE-SJ - ",B951)</f>
        <v>IIEE-SJ - 225</v>
      </c>
      <c r="B951" s="11">
        <v>225</v>
      </c>
      <c r="E951" s="11" t="s">
        <v>900</v>
      </c>
    </row>
    <row r="952" spans="1:5" x14ac:dyDescent="0.2">
      <c r="A952" s="9" t="str">
        <f>CONCATENATE("IIEE-SJ - ",B952)</f>
        <v>IIEE-SJ - 225001</v>
      </c>
      <c r="B952" s="11">
        <v>225001</v>
      </c>
      <c r="E952" s="11" t="s">
        <v>708</v>
      </c>
    </row>
    <row r="953" spans="1:5" x14ac:dyDescent="0.2">
      <c r="A953" s="9" t="str">
        <f>CONCATENATE("IIEE-SJ - ",B953)</f>
        <v>IIEE-SJ - 225002</v>
      </c>
      <c r="B953" s="11">
        <v>225002</v>
      </c>
      <c r="E953" s="11" t="s">
        <v>709</v>
      </c>
    </row>
    <row r="954" spans="1:5" x14ac:dyDescent="0.2">
      <c r="A954" s="9"/>
    </row>
    <row r="955" spans="1:5" x14ac:dyDescent="0.2">
      <c r="A955" s="9" t="str">
        <f t="shared" ref="A955:A960" si="36">CONCATENATE("IIEE-SJ - ",B955)</f>
        <v>IIEE-SJ - 226</v>
      </c>
      <c r="B955" s="11">
        <v>226</v>
      </c>
      <c r="E955" s="11" t="s">
        <v>901</v>
      </c>
    </row>
    <row r="956" spans="1:5" x14ac:dyDescent="0.2">
      <c r="A956" s="9" t="str">
        <f t="shared" si="36"/>
        <v>IIEE-SJ - 226001</v>
      </c>
      <c r="B956" s="11">
        <v>226001</v>
      </c>
      <c r="E956" s="11" t="s">
        <v>694</v>
      </c>
    </row>
    <row r="957" spans="1:5" x14ac:dyDescent="0.2">
      <c r="A957" s="9" t="str">
        <f t="shared" si="36"/>
        <v>IIEE-SJ - 226002</v>
      </c>
      <c r="B957" s="11">
        <v>226002</v>
      </c>
      <c r="E957" s="11" t="s">
        <v>695</v>
      </c>
    </row>
    <row r="958" spans="1:5" x14ac:dyDescent="0.2">
      <c r="A958" s="9" t="str">
        <f t="shared" si="36"/>
        <v>IIEE-SJ - 226003</v>
      </c>
      <c r="B958" s="11">
        <v>226003</v>
      </c>
      <c r="E958" s="11" t="s">
        <v>696</v>
      </c>
    </row>
    <row r="959" spans="1:5" x14ac:dyDescent="0.2">
      <c r="A959" s="9" t="str">
        <f t="shared" si="36"/>
        <v>IIEE-SJ - 226004</v>
      </c>
      <c r="B959" s="11">
        <v>226004</v>
      </c>
      <c r="E959" s="11" t="s">
        <v>710</v>
      </c>
    </row>
    <row r="960" spans="1:5" x14ac:dyDescent="0.2">
      <c r="A960" s="9" t="str">
        <f t="shared" si="36"/>
        <v>IIEE-SJ - 226005</v>
      </c>
      <c r="B960" s="11">
        <v>226005</v>
      </c>
      <c r="E960" s="11" t="s">
        <v>711</v>
      </c>
    </row>
    <row r="961" spans="1:5" x14ac:dyDescent="0.2">
      <c r="A961" s="9"/>
    </row>
    <row r="962" spans="1:5" x14ac:dyDescent="0.2">
      <c r="A962" s="9" t="str">
        <f t="shared" ref="A962:A969" si="37">CONCATENATE("IIEE-SJ - ",B962)</f>
        <v>IIEE-SJ - 227</v>
      </c>
      <c r="B962" s="11">
        <v>227</v>
      </c>
      <c r="E962" s="11" t="s">
        <v>902</v>
      </c>
    </row>
    <row r="963" spans="1:5" x14ac:dyDescent="0.2">
      <c r="A963" s="9" t="str">
        <f t="shared" si="37"/>
        <v>IIEE-SJ - 227001</v>
      </c>
      <c r="B963" s="11">
        <v>227001</v>
      </c>
      <c r="E963" s="11" t="s">
        <v>702</v>
      </c>
    </row>
    <row r="964" spans="1:5" x14ac:dyDescent="0.2">
      <c r="A964" s="9" t="str">
        <f t="shared" si="37"/>
        <v>IIEE-SJ - 227002</v>
      </c>
      <c r="B964" s="11">
        <v>227002</v>
      </c>
      <c r="E964" s="11" t="s">
        <v>703</v>
      </c>
    </row>
    <row r="965" spans="1:5" x14ac:dyDescent="0.2">
      <c r="A965" s="9" t="str">
        <f t="shared" si="37"/>
        <v>IIEE-SJ - 227003</v>
      </c>
      <c r="B965" s="11">
        <v>227003</v>
      </c>
      <c r="E965" s="11" t="s">
        <v>704</v>
      </c>
    </row>
    <row r="966" spans="1:5" x14ac:dyDescent="0.2">
      <c r="A966" s="9" t="str">
        <f t="shared" si="37"/>
        <v>IIEE-SJ - 227004</v>
      </c>
      <c r="B966" s="11">
        <v>227004</v>
      </c>
      <c r="E966" s="11" t="s">
        <v>705</v>
      </c>
    </row>
    <row r="967" spans="1:5" x14ac:dyDescent="0.2">
      <c r="A967" s="9" t="str">
        <f t="shared" si="37"/>
        <v>IIEE-SJ - 227005</v>
      </c>
      <c r="B967" s="11">
        <v>227005</v>
      </c>
      <c r="E967" s="11" t="s">
        <v>706</v>
      </c>
    </row>
    <row r="968" spans="1:5" x14ac:dyDescent="0.2">
      <c r="A968" s="9" t="str">
        <f t="shared" si="37"/>
        <v>IIEE-SJ - 227006</v>
      </c>
      <c r="B968" s="11">
        <v>227006</v>
      </c>
      <c r="E968" s="11" t="s">
        <v>707</v>
      </c>
    </row>
    <row r="969" spans="1:5" x14ac:dyDescent="0.2">
      <c r="A969" s="9" t="str">
        <f t="shared" si="37"/>
        <v>IIEE-SJ - 227007</v>
      </c>
      <c r="B969" s="11">
        <v>227007</v>
      </c>
      <c r="E969" s="11" t="s">
        <v>701</v>
      </c>
    </row>
  </sheetData>
  <sheetProtection password="E676" sheet="1" objects="1" scenarios="1"/>
  <autoFilter ref="B1:D969" xr:uid="{00000000-0009-0000-0000-000011000000}"/>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dimension ref="A1:D325"/>
  <sheetViews>
    <sheetView workbookViewId="0"/>
  </sheetViews>
  <sheetFormatPr baseColWidth="10" defaultColWidth="11.42578125" defaultRowHeight="15" x14ac:dyDescent="0.2"/>
  <cols>
    <col min="1" max="1" width="11.42578125" style="64"/>
    <col min="2" max="2" width="23" style="64" bestFit="1" customWidth="1"/>
    <col min="3" max="3" width="49.42578125" style="68" bestFit="1" customWidth="1"/>
    <col min="4" max="4" width="17.28515625" style="68" bestFit="1" customWidth="1"/>
    <col min="5" max="16384" width="11.42578125" style="68"/>
  </cols>
  <sheetData>
    <row r="1" spans="1:4" x14ac:dyDescent="0.2">
      <c r="B1" s="65" t="s">
        <v>1167</v>
      </c>
      <c r="C1" s="66" t="s">
        <v>1168</v>
      </c>
      <c r="D1" s="67"/>
    </row>
    <row r="2" spans="1:4" x14ac:dyDescent="0.2">
      <c r="B2" s="65"/>
      <c r="C2" s="66"/>
      <c r="D2" s="67"/>
    </row>
    <row r="3" spans="1:4" x14ac:dyDescent="0.2">
      <c r="A3" s="84">
        <v>1</v>
      </c>
      <c r="B3" s="70" t="str">
        <f xml:space="preserve"> CONCATENATE(B1,"-",TEXT(A3,"0000"))</f>
        <v>III-0001</v>
      </c>
      <c r="C3" s="71" t="s">
        <v>904</v>
      </c>
      <c r="D3" s="67"/>
    </row>
    <row r="4" spans="1:4" x14ac:dyDescent="0.2">
      <c r="A4" s="84">
        <v>1</v>
      </c>
      <c r="B4" s="72" t="str">
        <f>CONCATENATE($B$3,".",TEXT(A4,"0000"))</f>
        <v>III-0001.0001</v>
      </c>
      <c r="C4" s="73" t="s">
        <v>905</v>
      </c>
      <c r="D4" s="67" t="s">
        <v>3</v>
      </c>
    </row>
    <row r="5" spans="1:4" x14ac:dyDescent="0.2">
      <c r="A5" s="84">
        <v>2</v>
      </c>
      <c r="B5" s="72" t="str">
        <f t="shared" ref="B5:B11" si="0">CONCATENATE($B$3,".",TEXT(A5,"0000"))</f>
        <v>III-0001.0002</v>
      </c>
      <c r="C5" s="73" t="s">
        <v>907</v>
      </c>
      <c r="D5" s="67" t="s">
        <v>3</v>
      </c>
    </row>
    <row r="6" spans="1:4" x14ac:dyDescent="0.2">
      <c r="A6" s="84">
        <v>3</v>
      </c>
      <c r="B6" s="72" t="str">
        <f t="shared" si="0"/>
        <v>III-0001.0003</v>
      </c>
      <c r="C6" s="73" t="s">
        <v>909</v>
      </c>
      <c r="D6" s="67" t="s">
        <v>3</v>
      </c>
    </row>
    <row r="7" spans="1:4" x14ac:dyDescent="0.2">
      <c r="A7" s="84">
        <v>4</v>
      </c>
      <c r="B7" s="72" t="str">
        <f t="shared" si="0"/>
        <v>III-0001.0004</v>
      </c>
      <c r="C7" s="73" t="s">
        <v>911</v>
      </c>
      <c r="D7" s="67" t="s">
        <v>5</v>
      </c>
    </row>
    <row r="8" spans="1:4" x14ac:dyDescent="0.2">
      <c r="A8" s="84">
        <v>5</v>
      </c>
      <c r="B8" s="72" t="str">
        <f t="shared" si="0"/>
        <v>III-0001.0005</v>
      </c>
      <c r="C8" s="73" t="s">
        <v>913</v>
      </c>
      <c r="D8" s="67" t="s">
        <v>3</v>
      </c>
    </row>
    <row r="9" spans="1:4" x14ac:dyDescent="0.2">
      <c r="A9" s="84">
        <v>6</v>
      </c>
      <c r="B9" s="72" t="str">
        <f t="shared" si="0"/>
        <v>III-0001.0006</v>
      </c>
      <c r="C9" s="73" t="s">
        <v>915</v>
      </c>
      <c r="D9" s="67" t="s">
        <v>3</v>
      </c>
    </row>
    <row r="10" spans="1:4" x14ac:dyDescent="0.2">
      <c r="A10" s="84">
        <v>7</v>
      </c>
      <c r="B10" s="72" t="str">
        <f t="shared" si="0"/>
        <v>III-0001.0007</v>
      </c>
      <c r="C10" s="73" t="s">
        <v>917</v>
      </c>
      <c r="D10" s="67" t="s">
        <v>3</v>
      </c>
    </row>
    <row r="11" spans="1:4" x14ac:dyDescent="0.2">
      <c r="A11" s="84">
        <v>8</v>
      </c>
      <c r="B11" s="72" t="str">
        <f t="shared" si="0"/>
        <v>III-0001.0008</v>
      </c>
      <c r="C11" s="73" t="s">
        <v>1169</v>
      </c>
      <c r="D11" s="67" t="s">
        <v>3</v>
      </c>
    </row>
    <row r="12" spans="1:4" x14ac:dyDescent="0.2">
      <c r="B12" s="67"/>
      <c r="C12" s="73"/>
      <c r="D12" s="67"/>
    </row>
    <row r="13" spans="1:4" x14ac:dyDescent="0.2">
      <c r="A13" s="69" t="s">
        <v>906</v>
      </c>
      <c r="B13" s="70" t="str">
        <f xml:space="preserve"> CONCATENATE(B1,"-",A13)</f>
        <v>III-0002</v>
      </c>
      <c r="C13" s="71" t="s">
        <v>918</v>
      </c>
      <c r="D13" s="67"/>
    </row>
    <row r="14" spans="1:4" x14ac:dyDescent="0.2">
      <c r="A14" s="69" t="s">
        <v>903</v>
      </c>
      <c r="B14" s="72" t="str">
        <f>CONCATENATE($B$13,".",A14)</f>
        <v>III-0002.0001</v>
      </c>
      <c r="C14" s="73" t="s">
        <v>919</v>
      </c>
      <c r="D14" s="67" t="s">
        <v>4</v>
      </c>
    </row>
    <row r="15" spans="1:4" x14ac:dyDescent="0.2">
      <c r="A15" s="69" t="s">
        <v>906</v>
      </c>
      <c r="B15" s="72" t="str">
        <f>CONCATENATE($B$13,".",A15)</f>
        <v>III-0002.0002</v>
      </c>
      <c r="C15" s="73" t="s">
        <v>920</v>
      </c>
      <c r="D15" s="67" t="s">
        <v>4</v>
      </c>
    </row>
    <row r="16" spans="1:4" x14ac:dyDescent="0.2">
      <c r="A16" s="69" t="s">
        <v>908</v>
      </c>
      <c r="B16" s="72" t="str">
        <f>CONCATENATE($B$13,".",A16)</f>
        <v>III-0002.0003</v>
      </c>
      <c r="C16" s="73" t="s">
        <v>921</v>
      </c>
      <c r="D16" s="67" t="s">
        <v>4</v>
      </c>
    </row>
    <row r="17" spans="1:4" x14ac:dyDescent="0.2">
      <c r="A17" s="69"/>
      <c r="B17" s="67"/>
      <c r="C17" s="73"/>
      <c r="D17" s="67"/>
    </row>
    <row r="18" spans="1:4" x14ac:dyDescent="0.2">
      <c r="A18" s="69"/>
      <c r="B18" s="67"/>
      <c r="C18" s="73"/>
      <c r="D18" s="67"/>
    </row>
    <row r="19" spans="1:4" x14ac:dyDescent="0.2">
      <c r="A19" s="69" t="s">
        <v>908</v>
      </c>
      <c r="B19" s="70" t="str">
        <f xml:space="preserve"> CONCATENATE(B1,"-",A19)</f>
        <v>III-0003</v>
      </c>
      <c r="C19" s="71" t="s">
        <v>1170</v>
      </c>
      <c r="D19" s="67"/>
    </row>
    <row r="20" spans="1:4" x14ac:dyDescent="0.2">
      <c r="A20" s="69" t="s">
        <v>903</v>
      </c>
      <c r="B20" s="72" t="str">
        <f>CONCATENATE($B$19,".",A20)</f>
        <v>III-0003.0001</v>
      </c>
      <c r="C20" s="73" t="s">
        <v>1171</v>
      </c>
      <c r="D20" s="67" t="s">
        <v>5</v>
      </c>
    </row>
    <row r="21" spans="1:4" x14ac:dyDescent="0.2">
      <c r="A21" s="69" t="s">
        <v>906</v>
      </c>
      <c r="B21" s="72" t="str">
        <f t="shared" ref="B21:B28" si="1">CONCATENATE($B$19,".",A21)</f>
        <v>III-0003.0002</v>
      </c>
      <c r="C21" s="73" t="s">
        <v>1172</v>
      </c>
      <c r="D21" s="67" t="s">
        <v>5</v>
      </c>
    </row>
    <row r="22" spans="1:4" x14ac:dyDescent="0.2">
      <c r="A22" s="69" t="s">
        <v>908</v>
      </c>
      <c r="B22" s="72" t="str">
        <f t="shared" si="1"/>
        <v>III-0003.0003</v>
      </c>
      <c r="C22" s="73" t="s">
        <v>1173</v>
      </c>
      <c r="D22" s="67" t="s">
        <v>4</v>
      </c>
    </row>
    <row r="23" spans="1:4" x14ac:dyDescent="0.2">
      <c r="A23" s="69" t="s">
        <v>910</v>
      </c>
      <c r="B23" s="72" t="str">
        <f t="shared" si="1"/>
        <v>III-0003.0004</v>
      </c>
      <c r="C23" s="73" t="s">
        <v>922</v>
      </c>
      <c r="D23" s="67" t="s">
        <v>5</v>
      </c>
    </row>
    <row r="24" spans="1:4" x14ac:dyDescent="0.2">
      <c r="A24" s="69" t="s">
        <v>912</v>
      </c>
      <c r="B24" s="72" t="str">
        <f t="shared" si="1"/>
        <v>III-0003.0005</v>
      </c>
      <c r="C24" s="73" t="s">
        <v>923</v>
      </c>
      <c r="D24" s="67" t="s">
        <v>5</v>
      </c>
    </row>
    <row r="25" spans="1:4" x14ac:dyDescent="0.2">
      <c r="A25" s="69" t="s">
        <v>914</v>
      </c>
      <c r="B25" s="72" t="str">
        <f t="shared" si="1"/>
        <v>III-0003.0006</v>
      </c>
      <c r="C25" s="73" t="s">
        <v>1174</v>
      </c>
      <c r="D25" s="67" t="s">
        <v>4</v>
      </c>
    </row>
    <row r="26" spans="1:4" x14ac:dyDescent="0.2">
      <c r="A26" s="69" t="s">
        <v>916</v>
      </c>
      <c r="B26" s="72" t="str">
        <f t="shared" si="1"/>
        <v>III-0003.0007</v>
      </c>
      <c r="C26" s="73"/>
      <c r="D26" s="67"/>
    </row>
    <row r="27" spans="1:4" x14ac:dyDescent="0.2">
      <c r="A27" s="69" t="s">
        <v>932</v>
      </c>
      <c r="B27" s="72" t="str">
        <f t="shared" si="1"/>
        <v>III-0003.0008</v>
      </c>
      <c r="C27" s="73"/>
      <c r="D27" s="67"/>
    </row>
    <row r="28" spans="1:4" x14ac:dyDescent="0.2">
      <c r="A28" s="69" t="s">
        <v>934</v>
      </c>
      <c r="B28" s="72" t="str">
        <f t="shared" si="1"/>
        <v>III-0003.0009</v>
      </c>
      <c r="C28" s="73"/>
      <c r="D28" s="67"/>
    </row>
    <row r="29" spans="1:4" x14ac:dyDescent="0.2">
      <c r="B29" s="67"/>
      <c r="C29" s="73"/>
      <c r="D29" s="67"/>
    </row>
    <row r="30" spans="1:4" x14ac:dyDescent="0.2">
      <c r="B30" s="67"/>
      <c r="C30" s="73"/>
      <c r="D30" s="67"/>
    </row>
    <row r="31" spans="1:4" x14ac:dyDescent="0.2">
      <c r="A31" s="69" t="s">
        <v>910</v>
      </c>
      <c r="B31" s="70" t="str">
        <f xml:space="preserve"> CONCATENATE(B1,"-",A31)</f>
        <v>III-0004</v>
      </c>
      <c r="C31" s="71" t="s">
        <v>924</v>
      </c>
      <c r="D31" s="67"/>
    </row>
    <row r="32" spans="1:4" x14ac:dyDescent="0.2">
      <c r="A32" s="69" t="s">
        <v>903</v>
      </c>
      <c r="B32" s="72" t="str">
        <f>CONCATENATE($B$31,".",A32)</f>
        <v>III-0004.0001</v>
      </c>
      <c r="C32" s="73" t="s">
        <v>925</v>
      </c>
      <c r="D32" s="67" t="s">
        <v>4</v>
      </c>
    </row>
    <row r="33" spans="1:4" x14ac:dyDescent="0.2">
      <c r="A33" s="69" t="s">
        <v>906</v>
      </c>
      <c r="B33" s="72" t="str">
        <f t="shared" ref="B33:B45" si="2">CONCATENATE($B$31,".",A33)</f>
        <v>III-0004.0002</v>
      </c>
      <c r="C33" s="73" t="s">
        <v>1175</v>
      </c>
      <c r="D33" s="67" t="s">
        <v>4</v>
      </c>
    </row>
    <row r="34" spans="1:4" x14ac:dyDescent="0.2">
      <c r="A34" s="69" t="s">
        <v>908</v>
      </c>
      <c r="B34" s="72" t="str">
        <f t="shared" si="2"/>
        <v>III-0004.0003</v>
      </c>
      <c r="C34" s="73" t="s">
        <v>926</v>
      </c>
      <c r="D34" s="67" t="s">
        <v>4</v>
      </c>
    </row>
    <row r="35" spans="1:4" x14ac:dyDescent="0.2">
      <c r="A35" s="69" t="s">
        <v>910</v>
      </c>
      <c r="B35" s="72" t="str">
        <f t="shared" si="2"/>
        <v>III-0004.0004</v>
      </c>
      <c r="C35" s="73" t="s">
        <v>927</v>
      </c>
      <c r="D35" s="67" t="s">
        <v>4</v>
      </c>
    </row>
    <row r="36" spans="1:4" x14ac:dyDescent="0.2">
      <c r="A36" s="69" t="s">
        <v>912</v>
      </c>
      <c r="B36" s="72" t="str">
        <f t="shared" si="2"/>
        <v>III-0004.0005</v>
      </c>
      <c r="C36" s="73" t="s">
        <v>928</v>
      </c>
      <c r="D36" s="67" t="s">
        <v>4</v>
      </c>
    </row>
    <row r="37" spans="1:4" x14ac:dyDescent="0.2">
      <c r="A37" s="69" t="s">
        <v>914</v>
      </c>
      <c r="B37" s="72" t="str">
        <f t="shared" si="2"/>
        <v>III-0004.0006</v>
      </c>
      <c r="C37" s="73" t="s">
        <v>929</v>
      </c>
      <c r="D37" s="67"/>
    </row>
    <row r="38" spans="1:4" x14ac:dyDescent="0.2">
      <c r="A38" s="69" t="s">
        <v>916</v>
      </c>
      <c r="B38" s="72" t="str">
        <f t="shared" si="2"/>
        <v>III-0004.0007</v>
      </c>
      <c r="C38" s="73" t="s">
        <v>930</v>
      </c>
      <c r="D38" s="67" t="s">
        <v>4</v>
      </c>
    </row>
    <row r="39" spans="1:4" x14ac:dyDescent="0.2">
      <c r="A39" s="69" t="s">
        <v>932</v>
      </c>
      <c r="B39" s="72" t="str">
        <f t="shared" si="2"/>
        <v>III-0004.0008</v>
      </c>
      <c r="C39" s="73" t="s">
        <v>931</v>
      </c>
      <c r="D39" s="67" t="s">
        <v>4</v>
      </c>
    </row>
    <row r="40" spans="1:4" x14ac:dyDescent="0.2">
      <c r="A40" s="69" t="s">
        <v>934</v>
      </c>
      <c r="B40" s="72" t="str">
        <f t="shared" si="2"/>
        <v>III-0004.0009</v>
      </c>
      <c r="C40" s="73" t="s">
        <v>933</v>
      </c>
      <c r="D40" s="67" t="s">
        <v>4</v>
      </c>
    </row>
    <row r="41" spans="1:4" x14ac:dyDescent="0.2">
      <c r="A41" s="69" t="s">
        <v>936</v>
      </c>
      <c r="B41" s="72" t="str">
        <f t="shared" si="2"/>
        <v>III-0004.0010</v>
      </c>
      <c r="C41" s="73" t="s">
        <v>935</v>
      </c>
      <c r="D41" s="67" t="s">
        <v>4</v>
      </c>
    </row>
    <row r="42" spans="1:4" x14ac:dyDescent="0.2">
      <c r="A42" s="69" t="s">
        <v>937</v>
      </c>
      <c r="B42" s="72" t="str">
        <f t="shared" si="2"/>
        <v>III-0004.0011</v>
      </c>
      <c r="C42" s="73" t="s">
        <v>1176</v>
      </c>
      <c r="D42" s="67" t="s">
        <v>4</v>
      </c>
    </row>
    <row r="43" spans="1:4" x14ac:dyDescent="0.2">
      <c r="A43" s="69" t="s">
        <v>939</v>
      </c>
      <c r="B43" s="72" t="str">
        <f t="shared" si="2"/>
        <v>III-0004.0012</v>
      </c>
      <c r="C43" s="73" t="s">
        <v>938</v>
      </c>
      <c r="D43" s="67" t="s">
        <v>5</v>
      </c>
    </row>
    <row r="44" spans="1:4" x14ac:dyDescent="0.2">
      <c r="A44" s="69" t="s">
        <v>997</v>
      </c>
      <c r="B44" s="72" t="str">
        <f t="shared" si="2"/>
        <v>III-0004.0013</v>
      </c>
      <c r="C44" s="73" t="s">
        <v>940</v>
      </c>
      <c r="D44" s="67" t="s">
        <v>4</v>
      </c>
    </row>
    <row r="45" spans="1:4" x14ac:dyDescent="0.2">
      <c r="A45" s="69" t="s">
        <v>1010</v>
      </c>
      <c r="B45" s="72" t="str">
        <f t="shared" si="2"/>
        <v>III-0004.0014</v>
      </c>
      <c r="C45" s="225" t="s">
        <v>1177</v>
      </c>
      <c r="D45" s="67" t="s">
        <v>3</v>
      </c>
    </row>
    <row r="46" spans="1:4" x14ac:dyDescent="0.2">
      <c r="B46" s="67"/>
      <c r="C46" s="73"/>
      <c r="D46" s="67"/>
    </row>
    <row r="47" spans="1:4" x14ac:dyDescent="0.2">
      <c r="A47" s="69" t="s">
        <v>912</v>
      </c>
      <c r="B47" s="70" t="str">
        <f xml:space="preserve"> CONCATENATE(B1,"-",A47)</f>
        <v>III-0005</v>
      </c>
      <c r="C47" s="71" t="s">
        <v>941</v>
      </c>
      <c r="D47" s="67"/>
    </row>
    <row r="48" spans="1:4" x14ac:dyDescent="0.2">
      <c r="A48" s="69" t="s">
        <v>903</v>
      </c>
      <c r="B48" s="72" t="str">
        <f>CONCATENATE($B$47,".",A48)</f>
        <v>III-0005.0001</v>
      </c>
      <c r="C48" s="73" t="s">
        <v>942</v>
      </c>
      <c r="D48" s="67" t="s">
        <v>5</v>
      </c>
    </row>
    <row r="49" spans="1:4" x14ac:dyDescent="0.2">
      <c r="A49" s="69" t="s">
        <v>906</v>
      </c>
      <c r="B49" s="72" t="str">
        <f t="shared" ref="B49:B57" si="3">CONCATENATE($B$47,".",A49)</f>
        <v>III-0005.0002</v>
      </c>
      <c r="C49" s="73" t="s">
        <v>943</v>
      </c>
      <c r="D49" s="67" t="s">
        <v>5</v>
      </c>
    </row>
    <row r="50" spans="1:4" x14ac:dyDescent="0.2">
      <c r="A50" s="69" t="s">
        <v>908</v>
      </c>
      <c r="B50" s="72" t="str">
        <f t="shared" si="3"/>
        <v>III-0005.0003</v>
      </c>
      <c r="C50" s="73" t="s">
        <v>944</v>
      </c>
      <c r="D50" s="67" t="s">
        <v>5</v>
      </c>
    </row>
    <row r="51" spans="1:4" x14ac:dyDescent="0.2">
      <c r="B51" s="67"/>
      <c r="C51" s="73"/>
      <c r="D51" s="67"/>
    </row>
    <row r="52" spans="1:4" x14ac:dyDescent="0.2">
      <c r="A52" s="69" t="s">
        <v>936</v>
      </c>
      <c r="B52" s="72" t="str">
        <f t="shared" si="3"/>
        <v>III-0005.0010</v>
      </c>
      <c r="C52" s="73" t="s">
        <v>945</v>
      </c>
      <c r="D52" s="67" t="s">
        <v>5</v>
      </c>
    </row>
    <row r="53" spans="1:4" x14ac:dyDescent="0.2">
      <c r="A53" s="69" t="s">
        <v>937</v>
      </c>
      <c r="B53" s="72" t="str">
        <f t="shared" si="3"/>
        <v>III-0005.0011</v>
      </c>
      <c r="C53" s="73" t="s">
        <v>946</v>
      </c>
      <c r="D53" s="67" t="s">
        <v>5</v>
      </c>
    </row>
    <row r="54" spans="1:4" x14ac:dyDescent="0.2">
      <c r="A54" s="69" t="s">
        <v>939</v>
      </c>
      <c r="B54" s="72" t="str">
        <f t="shared" si="3"/>
        <v>III-0005.0012</v>
      </c>
      <c r="C54" s="73" t="s">
        <v>947</v>
      </c>
      <c r="D54" s="67" t="s">
        <v>5</v>
      </c>
    </row>
    <row r="55" spans="1:4" x14ac:dyDescent="0.2">
      <c r="B55" s="67"/>
      <c r="C55" s="73"/>
      <c r="D55" s="67"/>
    </row>
    <row r="56" spans="1:4" x14ac:dyDescent="0.2">
      <c r="A56" s="69" t="s">
        <v>948</v>
      </c>
      <c r="B56" s="72" t="str">
        <f t="shared" si="3"/>
        <v>III-0005.0021</v>
      </c>
      <c r="C56" s="73" t="s">
        <v>949</v>
      </c>
      <c r="D56" s="67" t="s">
        <v>5</v>
      </c>
    </row>
    <row r="57" spans="1:4" x14ac:dyDescent="0.2">
      <c r="A57" s="69" t="s">
        <v>950</v>
      </c>
      <c r="B57" s="72" t="str">
        <f t="shared" si="3"/>
        <v>III-0005.0022</v>
      </c>
      <c r="C57" s="73" t="s">
        <v>951</v>
      </c>
      <c r="D57" s="67" t="s">
        <v>5</v>
      </c>
    </row>
    <row r="58" spans="1:4" x14ac:dyDescent="0.2">
      <c r="B58" s="67"/>
      <c r="C58" s="73"/>
      <c r="D58" s="67"/>
    </row>
    <row r="59" spans="1:4" x14ac:dyDescent="0.2">
      <c r="B59" s="67"/>
      <c r="C59" s="73"/>
      <c r="D59" s="67"/>
    </row>
    <row r="60" spans="1:4" x14ac:dyDescent="0.2">
      <c r="A60" s="69" t="s">
        <v>914</v>
      </c>
      <c r="B60" s="70" t="str">
        <f xml:space="preserve"> CONCATENATE(B1,"-",A60)</f>
        <v>III-0006</v>
      </c>
      <c r="C60" s="71" t="s">
        <v>952</v>
      </c>
      <c r="D60" s="67"/>
    </row>
    <row r="61" spans="1:4" x14ac:dyDescent="0.2">
      <c r="A61" s="69" t="s">
        <v>903</v>
      </c>
      <c r="B61" s="72" t="str">
        <f>CONCATENATE($B$60,".",A61)</f>
        <v>III-0006.0001</v>
      </c>
      <c r="C61" s="73" t="s">
        <v>953</v>
      </c>
      <c r="D61" s="67" t="s">
        <v>5</v>
      </c>
    </row>
    <row r="62" spans="1:4" x14ac:dyDescent="0.2">
      <c r="A62" s="69" t="s">
        <v>906</v>
      </c>
      <c r="B62" s="72" t="str">
        <f t="shared" ref="B62:B68" si="4">CONCATENATE($B$60,".",A62)</f>
        <v>III-0006.0002</v>
      </c>
      <c r="C62" s="73" t="s">
        <v>954</v>
      </c>
      <c r="D62" s="67" t="s">
        <v>5</v>
      </c>
    </row>
    <row r="63" spans="1:4" x14ac:dyDescent="0.2">
      <c r="A63" s="69" t="s">
        <v>908</v>
      </c>
      <c r="B63" s="72" t="str">
        <f t="shared" si="4"/>
        <v>III-0006.0003</v>
      </c>
      <c r="C63" s="73" t="s">
        <v>955</v>
      </c>
      <c r="D63" s="67" t="s">
        <v>5</v>
      </c>
    </row>
    <row r="64" spans="1:4" x14ac:dyDescent="0.2">
      <c r="A64" s="69" t="s">
        <v>910</v>
      </c>
      <c r="B64" s="72" t="str">
        <f t="shared" si="4"/>
        <v>III-0006.0004</v>
      </c>
      <c r="C64" s="73" t="s">
        <v>956</v>
      </c>
      <c r="D64" s="67" t="s">
        <v>5</v>
      </c>
    </row>
    <row r="65" spans="1:4" x14ac:dyDescent="0.2">
      <c r="A65" s="69" t="s">
        <v>912</v>
      </c>
      <c r="B65" s="72" t="str">
        <f t="shared" si="4"/>
        <v>III-0006.0005</v>
      </c>
      <c r="C65" s="73" t="s">
        <v>957</v>
      </c>
      <c r="D65" s="67" t="s">
        <v>5</v>
      </c>
    </row>
    <row r="66" spans="1:4" x14ac:dyDescent="0.2">
      <c r="A66" s="69" t="s">
        <v>914</v>
      </c>
      <c r="B66" s="72" t="str">
        <f t="shared" si="4"/>
        <v>III-0006.0006</v>
      </c>
      <c r="C66" s="73" t="s">
        <v>958</v>
      </c>
      <c r="D66" s="67" t="s">
        <v>5</v>
      </c>
    </row>
    <row r="67" spans="1:4" x14ac:dyDescent="0.2">
      <c r="A67" s="69" t="s">
        <v>916</v>
      </c>
      <c r="B67" s="72" t="str">
        <f t="shared" si="4"/>
        <v>III-0006.0007</v>
      </c>
      <c r="C67" s="73" t="s">
        <v>959</v>
      </c>
      <c r="D67" s="67" t="s">
        <v>5</v>
      </c>
    </row>
    <row r="68" spans="1:4" x14ac:dyDescent="0.2">
      <c r="A68" s="69" t="s">
        <v>932</v>
      </c>
      <c r="B68" s="72" t="str">
        <f t="shared" si="4"/>
        <v>III-0006.0008</v>
      </c>
      <c r="C68" s="73" t="s">
        <v>960</v>
      </c>
      <c r="D68" s="67" t="s">
        <v>5</v>
      </c>
    </row>
    <row r="69" spans="1:4" x14ac:dyDescent="0.2">
      <c r="A69" s="69"/>
      <c r="B69" s="67"/>
      <c r="C69" s="73"/>
      <c r="D69" s="67"/>
    </row>
    <row r="70" spans="1:4" x14ac:dyDescent="0.2">
      <c r="B70" s="67"/>
      <c r="C70" s="73"/>
      <c r="D70" s="67"/>
    </row>
    <row r="71" spans="1:4" x14ac:dyDescent="0.2">
      <c r="A71" s="69" t="s">
        <v>936</v>
      </c>
      <c r="B71" s="72" t="str">
        <f>CONCATENATE($B$60,".",A71)</f>
        <v>III-0006.0010</v>
      </c>
      <c r="C71" s="73" t="s">
        <v>961</v>
      </c>
      <c r="D71" s="67" t="s">
        <v>5</v>
      </c>
    </row>
    <row r="72" spans="1:4" x14ac:dyDescent="0.2">
      <c r="A72" s="69" t="s">
        <v>937</v>
      </c>
      <c r="B72" s="72" t="str">
        <f>CONCATENATE($B$60,".",A72)</f>
        <v>III-0006.0011</v>
      </c>
      <c r="C72" s="73" t="s">
        <v>962</v>
      </c>
      <c r="D72" s="67" t="s">
        <v>5</v>
      </c>
    </row>
    <row r="73" spans="1:4" x14ac:dyDescent="0.2">
      <c r="A73" s="69"/>
      <c r="B73" s="67"/>
      <c r="C73" s="73"/>
      <c r="D73" s="67"/>
    </row>
    <row r="74" spans="1:4" x14ac:dyDescent="0.2">
      <c r="A74" s="69" t="s">
        <v>963</v>
      </c>
      <c r="B74" s="72" t="str">
        <f>CONCATENATE($B$60,".",A74)</f>
        <v>III-0006.0020</v>
      </c>
      <c r="C74" s="73" t="s">
        <v>964</v>
      </c>
      <c r="D74" s="67" t="s">
        <v>5</v>
      </c>
    </row>
    <row r="75" spans="1:4" x14ac:dyDescent="0.2">
      <c r="A75" s="69" t="s">
        <v>948</v>
      </c>
      <c r="B75" s="72" t="str">
        <f>CONCATENATE($B$60,".",A75)</f>
        <v>III-0006.0021</v>
      </c>
      <c r="C75" s="73" t="s">
        <v>965</v>
      </c>
      <c r="D75" s="67" t="s">
        <v>5</v>
      </c>
    </row>
    <row r="76" spans="1:4" x14ac:dyDescent="0.2">
      <c r="A76" s="69"/>
      <c r="B76" s="67"/>
      <c r="C76" s="73"/>
      <c r="D76" s="67"/>
    </row>
    <row r="77" spans="1:4" x14ac:dyDescent="0.2">
      <c r="A77" s="69"/>
      <c r="B77" s="67"/>
      <c r="C77" s="73"/>
      <c r="D77" s="67"/>
    </row>
    <row r="78" spans="1:4" x14ac:dyDescent="0.2">
      <c r="A78" s="69" t="s">
        <v>916</v>
      </c>
      <c r="B78" s="70" t="str">
        <f xml:space="preserve"> CONCATENATE("I-",A78)</f>
        <v>I-0007</v>
      </c>
      <c r="C78" s="71" t="s">
        <v>966</v>
      </c>
      <c r="D78" s="67"/>
    </row>
    <row r="79" spans="1:4" x14ac:dyDescent="0.2">
      <c r="A79" s="69" t="s">
        <v>903</v>
      </c>
      <c r="B79" s="72" t="str">
        <f>CONCATENATE($B$78,".",A79)</f>
        <v>I-0007.0001</v>
      </c>
      <c r="C79" s="73" t="s">
        <v>1178</v>
      </c>
      <c r="D79" s="67" t="s">
        <v>5</v>
      </c>
    </row>
    <row r="80" spans="1:4" x14ac:dyDescent="0.2">
      <c r="A80" s="69" t="s">
        <v>906</v>
      </c>
      <c r="B80" s="72" t="str">
        <f>CONCATENATE($B$78,".",A80)</f>
        <v>I-0007.0002</v>
      </c>
      <c r="C80" s="73" t="s">
        <v>725</v>
      </c>
      <c r="D80" s="67" t="s">
        <v>5</v>
      </c>
    </row>
    <row r="81" spans="1:4" x14ac:dyDescent="0.2">
      <c r="A81" s="69" t="s">
        <v>908</v>
      </c>
      <c r="B81" s="72" t="str">
        <f>CONCATENATE($B$78,".",A81)</f>
        <v>I-0007.0003</v>
      </c>
      <c r="C81" s="73" t="s">
        <v>967</v>
      </c>
      <c r="D81" s="67" t="s">
        <v>5</v>
      </c>
    </row>
    <row r="82" spans="1:4" x14ac:dyDescent="0.2">
      <c r="A82" s="69" t="s">
        <v>910</v>
      </c>
      <c r="B82" s="72" t="str">
        <f>CONCATENATE($B$78,".",A82)</f>
        <v>I-0007.0004</v>
      </c>
      <c r="C82" s="73" t="s">
        <v>968</v>
      </c>
      <c r="D82" s="67" t="s">
        <v>5</v>
      </c>
    </row>
    <row r="83" spans="1:4" x14ac:dyDescent="0.2">
      <c r="A83" s="69"/>
      <c r="B83" s="67"/>
      <c r="C83" s="73"/>
      <c r="D83" s="67"/>
    </row>
    <row r="84" spans="1:4" x14ac:dyDescent="0.2">
      <c r="A84" s="69"/>
      <c r="B84" s="67"/>
      <c r="C84" s="73"/>
      <c r="D84" s="67"/>
    </row>
    <row r="85" spans="1:4" x14ac:dyDescent="0.2">
      <c r="A85" s="69" t="s">
        <v>932</v>
      </c>
      <c r="B85" s="70" t="str">
        <f xml:space="preserve"> CONCATENATE("I-",A85)</f>
        <v>I-0008</v>
      </c>
      <c r="C85" s="71" t="s">
        <v>969</v>
      </c>
      <c r="D85" s="67"/>
    </row>
    <row r="86" spans="1:4" x14ac:dyDescent="0.2">
      <c r="A86" s="69" t="s">
        <v>903</v>
      </c>
      <c r="B86" s="72" t="str">
        <f>CONCATENATE($B$85,".",A86)</f>
        <v>I-0008.0001</v>
      </c>
      <c r="C86" s="73" t="s">
        <v>970</v>
      </c>
      <c r="D86" s="67" t="s">
        <v>5</v>
      </c>
    </row>
    <row r="87" spans="1:4" x14ac:dyDescent="0.2">
      <c r="A87" s="69" t="s">
        <v>906</v>
      </c>
      <c r="B87" s="72" t="str">
        <f>CONCATENATE($B$85,".",A87)</f>
        <v>I-0008.0002</v>
      </c>
      <c r="C87" s="73" t="s">
        <v>971</v>
      </c>
      <c r="D87" s="67" t="s">
        <v>5</v>
      </c>
    </row>
    <row r="88" spans="1:4" x14ac:dyDescent="0.2">
      <c r="A88" s="69" t="s">
        <v>908</v>
      </c>
      <c r="B88" s="72" t="str">
        <f>CONCATENATE($B$85,".",A88)</f>
        <v>I-0008.0003</v>
      </c>
      <c r="C88" s="73" t="s">
        <v>972</v>
      </c>
      <c r="D88" s="67" t="s">
        <v>5</v>
      </c>
    </row>
    <row r="89" spans="1:4" x14ac:dyDescent="0.2">
      <c r="A89" s="69" t="s">
        <v>910</v>
      </c>
      <c r="B89" s="72" t="str">
        <f>CONCATENATE($B$85,".",A89)</f>
        <v>I-0008.0004</v>
      </c>
      <c r="C89" s="73" t="s">
        <v>973</v>
      </c>
      <c r="D89" s="67" t="s">
        <v>5</v>
      </c>
    </row>
    <row r="90" spans="1:4" x14ac:dyDescent="0.2">
      <c r="B90" s="67"/>
      <c r="C90" s="73"/>
      <c r="D90" s="67"/>
    </row>
    <row r="91" spans="1:4" x14ac:dyDescent="0.2">
      <c r="B91" s="67"/>
      <c r="C91" s="73"/>
      <c r="D91" s="67"/>
    </row>
    <row r="92" spans="1:4" x14ac:dyDescent="0.2">
      <c r="A92" s="69" t="s">
        <v>934</v>
      </c>
      <c r="B92" s="70" t="str">
        <f xml:space="preserve"> CONCATENATE("I-",A92)</f>
        <v>I-0009</v>
      </c>
      <c r="C92" s="71" t="s">
        <v>974</v>
      </c>
      <c r="D92" s="67"/>
    </row>
    <row r="93" spans="1:4" x14ac:dyDescent="0.2">
      <c r="A93" s="69" t="s">
        <v>903</v>
      </c>
      <c r="B93" s="72" t="str">
        <f>CONCATENATE($B$92,".",A93)</f>
        <v>I-0009.0001</v>
      </c>
      <c r="C93" s="73" t="s">
        <v>1179</v>
      </c>
      <c r="D93" s="67" t="s">
        <v>5</v>
      </c>
    </row>
    <row r="94" spans="1:4" x14ac:dyDescent="0.2">
      <c r="A94" s="69" t="s">
        <v>906</v>
      </c>
      <c r="B94" s="72" t="str">
        <f>CONCATENATE($B$92,".",A94)</f>
        <v>I-0009.0002</v>
      </c>
      <c r="C94" s="73" t="s">
        <v>1180</v>
      </c>
      <c r="D94" s="67" t="s">
        <v>5</v>
      </c>
    </row>
    <row r="95" spans="1:4" x14ac:dyDescent="0.2">
      <c r="A95" s="69" t="s">
        <v>908</v>
      </c>
      <c r="B95" s="72" t="str">
        <f>CONCATENATE($B$92,".",A95)</f>
        <v>I-0009.0003</v>
      </c>
      <c r="C95" s="73" t="s">
        <v>975</v>
      </c>
      <c r="D95" s="67" t="s">
        <v>5</v>
      </c>
    </row>
    <row r="96" spans="1:4" x14ac:dyDescent="0.2">
      <c r="A96" s="69" t="s">
        <v>910</v>
      </c>
      <c r="B96" s="72" t="str">
        <f>CONCATENATE($B$92,".",A96)</f>
        <v>I-0009.0004</v>
      </c>
      <c r="C96" s="73" t="s">
        <v>976</v>
      </c>
      <c r="D96" s="67" t="s">
        <v>5</v>
      </c>
    </row>
    <row r="97" spans="1:4" x14ac:dyDescent="0.2">
      <c r="B97" s="67"/>
      <c r="C97" s="73"/>
      <c r="D97" s="67"/>
    </row>
    <row r="98" spans="1:4" x14ac:dyDescent="0.2">
      <c r="B98" s="67"/>
      <c r="C98" s="73"/>
      <c r="D98" s="67"/>
    </row>
    <row r="99" spans="1:4" x14ac:dyDescent="0.2">
      <c r="A99" s="69" t="s">
        <v>936</v>
      </c>
      <c r="B99" s="70" t="str">
        <f xml:space="preserve"> CONCATENATE("I-",A99)</f>
        <v>I-0010</v>
      </c>
      <c r="C99" s="71" t="s">
        <v>977</v>
      </c>
      <c r="D99" s="67"/>
    </row>
    <row r="100" spans="1:4" x14ac:dyDescent="0.2">
      <c r="A100" s="69" t="s">
        <v>903</v>
      </c>
      <c r="B100" s="72" t="str">
        <f>CONCATENATE($B$99,".",A100)</f>
        <v>I-0010.0001</v>
      </c>
      <c r="C100" s="73" t="s">
        <v>978</v>
      </c>
      <c r="D100" s="67" t="s">
        <v>5</v>
      </c>
    </row>
    <row r="101" spans="1:4" x14ac:dyDescent="0.2">
      <c r="A101" s="69" t="s">
        <v>906</v>
      </c>
      <c r="B101" s="72" t="str">
        <f t="shared" ref="B101:B106" si="5">CONCATENATE($B$99,".",A101)</f>
        <v>I-0010.0002</v>
      </c>
      <c r="C101" s="73" t="s">
        <v>979</v>
      </c>
      <c r="D101" s="67" t="s">
        <v>5</v>
      </c>
    </row>
    <row r="102" spans="1:4" x14ac:dyDescent="0.2">
      <c r="A102" s="69" t="s">
        <v>908</v>
      </c>
      <c r="B102" s="72" t="str">
        <f t="shared" si="5"/>
        <v>I-0010.0003</v>
      </c>
      <c r="C102" s="73" t="s">
        <v>980</v>
      </c>
      <c r="D102" s="67" t="s">
        <v>5</v>
      </c>
    </row>
    <row r="103" spans="1:4" x14ac:dyDescent="0.2">
      <c r="A103" s="69" t="s">
        <v>910</v>
      </c>
      <c r="B103" s="72" t="str">
        <f t="shared" si="5"/>
        <v>I-0010.0004</v>
      </c>
      <c r="C103" s="73" t="s">
        <v>981</v>
      </c>
      <c r="D103" s="67" t="s">
        <v>5</v>
      </c>
    </row>
    <row r="104" spans="1:4" x14ac:dyDescent="0.2">
      <c r="A104" s="69" t="s">
        <v>912</v>
      </c>
      <c r="B104" s="72" t="str">
        <f t="shared" si="5"/>
        <v>I-0010.0005</v>
      </c>
      <c r="C104" s="73" t="s">
        <v>982</v>
      </c>
      <c r="D104" s="67" t="s">
        <v>5</v>
      </c>
    </row>
    <row r="105" spans="1:4" x14ac:dyDescent="0.2">
      <c r="A105" s="69" t="s">
        <v>914</v>
      </c>
      <c r="B105" s="72" t="str">
        <f t="shared" si="5"/>
        <v>I-0010.0006</v>
      </c>
      <c r="C105" s="73" t="s">
        <v>983</v>
      </c>
      <c r="D105" s="67" t="s">
        <v>5</v>
      </c>
    </row>
    <row r="106" spans="1:4" x14ac:dyDescent="0.2">
      <c r="A106" s="69" t="s">
        <v>916</v>
      </c>
      <c r="B106" s="72" t="str">
        <f t="shared" si="5"/>
        <v>I-0010.0007</v>
      </c>
      <c r="C106" s="73" t="s">
        <v>984</v>
      </c>
      <c r="D106" s="67" t="s">
        <v>5</v>
      </c>
    </row>
    <row r="107" spans="1:4" x14ac:dyDescent="0.2">
      <c r="B107" s="67"/>
      <c r="C107" s="73"/>
      <c r="D107" s="67"/>
    </row>
    <row r="108" spans="1:4" x14ac:dyDescent="0.2">
      <c r="B108" s="67"/>
      <c r="C108" s="73"/>
      <c r="D108" s="67"/>
    </row>
    <row r="109" spans="1:4" x14ac:dyDescent="0.2">
      <c r="A109" s="69" t="s">
        <v>937</v>
      </c>
      <c r="B109" s="70" t="str">
        <f xml:space="preserve"> CONCATENATE("I-",A109)</f>
        <v>I-0011</v>
      </c>
      <c r="C109" s="71" t="s">
        <v>6</v>
      </c>
      <c r="D109" s="67"/>
    </row>
    <row r="110" spans="1:4" x14ac:dyDescent="0.2">
      <c r="A110" s="69" t="s">
        <v>903</v>
      </c>
      <c r="B110" s="72" t="str">
        <f>CONCATENATE($B$109,".",A110)</f>
        <v>I-0011.0001</v>
      </c>
      <c r="C110" s="73" t="s">
        <v>985</v>
      </c>
      <c r="D110" s="67" t="s">
        <v>5</v>
      </c>
    </row>
    <row r="111" spans="1:4" x14ac:dyDescent="0.2">
      <c r="A111" s="69" t="s">
        <v>906</v>
      </c>
      <c r="B111" s="72" t="str">
        <f>CONCATENATE($B$109,".",A111)</f>
        <v>I-0011.0002</v>
      </c>
      <c r="C111" s="73" t="s">
        <v>986</v>
      </c>
      <c r="D111" s="67" t="s">
        <v>5</v>
      </c>
    </row>
    <row r="112" spans="1:4" x14ac:dyDescent="0.2">
      <c r="A112" s="69" t="s">
        <v>908</v>
      </c>
      <c r="B112" s="72" t="str">
        <f>CONCATENATE($B$109,".",A112)</f>
        <v>I-0011.0003</v>
      </c>
      <c r="C112" s="73" t="s">
        <v>987</v>
      </c>
      <c r="D112" s="67" t="s">
        <v>5</v>
      </c>
    </row>
    <row r="113" spans="1:4" x14ac:dyDescent="0.2">
      <c r="A113" s="69" t="s">
        <v>910</v>
      </c>
      <c r="B113" s="72" t="str">
        <f>CONCATENATE($B$109,".",A113)</f>
        <v>I-0011.0004</v>
      </c>
      <c r="C113" s="73" t="s">
        <v>988</v>
      </c>
      <c r="D113" s="67" t="s">
        <v>5</v>
      </c>
    </row>
    <row r="114" spans="1:4" x14ac:dyDescent="0.2">
      <c r="A114" s="69" t="s">
        <v>912</v>
      </c>
      <c r="B114" s="72" t="str">
        <f>CONCATENATE($B$109,".",A114)</f>
        <v>I-0011.0005</v>
      </c>
      <c r="C114" s="73" t="s">
        <v>989</v>
      </c>
      <c r="D114" s="67" t="s">
        <v>5</v>
      </c>
    </row>
    <row r="115" spans="1:4" x14ac:dyDescent="0.2">
      <c r="B115" s="67"/>
      <c r="C115" s="73"/>
      <c r="D115" s="67"/>
    </row>
    <row r="116" spans="1:4" x14ac:dyDescent="0.2">
      <c r="B116" s="67"/>
      <c r="C116" s="73"/>
      <c r="D116" s="67"/>
    </row>
    <row r="117" spans="1:4" x14ac:dyDescent="0.2">
      <c r="A117" s="69" t="s">
        <v>939</v>
      </c>
      <c r="B117" s="70" t="str">
        <f xml:space="preserve"> CONCATENATE("I-",A117)</f>
        <v>I-0012</v>
      </c>
      <c r="C117" s="71" t="s">
        <v>990</v>
      </c>
      <c r="D117" s="67"/>
    </row>
    <row r="118" spans="1:4" x14ac:dyDescent="0.2">
      <c r="A118" s="69" t="s">
        <v>903</v>
      </c>
      <c r="B118" s="72" t="str">
        <f t="shared" ref="B118:B123" si="6">CONCATENATE($B$117,".",A118)</f>
        <v>I-0012.0001</v>
      </c>
      <c r="C118" s="73" t="s">
        <v>991</v>
      </c>
      <c r="D118" s="67" t="s">
        <v>5</v>
      </c>
    </row>
    <row r="119" spans="1:4" x14ac:dyDescent="0.2">
      <c r="A119" s="69" t="s">
        <v>906</v>
      </c>
      <c r="B119" s="72" t="str">
        <f t="shared" si="6"/>
        <v>I-0012.0002</v>
      </c>
      <c r="C119" s="73" t="s">
        <v>992</v>
      </c>
      <c r="D119" s="67" t="s">
        <v>5</v>
      </c>
    </row>
    <row r="120" spans="1:4" x14ac:dyDescent="0.2">
      <c r="A120" s="69" t="s">
        <v>908</v>
      </c>
      <c r="B120" s="72" t="str">
        <f t="shared" si="6"/>
        <v>I-0012.0003</v>
      </c>
      <c r="C120" s="73" t="s">
        <v>993</v>
      </c>
      <c r="D120" s="67" t="s">
        <v>5</v>
      </c>
    </row>
    <row r="121" spans="1:4" x14ac:dyDescent="0.2">
      <c r="A121" s="69" t="s">
        <v>910</v>
      </c>
      <c r="B121" s="72" t="str">
        <f t="shared" si="6"/>
        <v>I-0012.0004</v>
      </c>
      <c r="C121" s="73" t="s">
        <v>994</v>
      </c>
      <c r="D121" s="67" t="s">
        <v>5</v>
      </c>
    </row>
    <row r="122" spans="1:4" x14ac:dyDescent="0.2">
      <c r="A122" s="69" t="s">
        <v>912</v>
      </c>
      <c r="B122" s="72" t="str">
        <f t="shared" si="6"/>
        <v>I-0012.0005</v>
      </c>
      <c r="C122" s="73" t="s">
        <v>995</v>
      </c>
      <c r="D122" s="67" t="s">
        <v>5</v>
      </c>
    </row>
    <row r="123" spans="1:4" x14ac:dyDescent="0.2">
      <c r="A123" s="69" t="s">
        <v>914</v>
      </c>
      <c r="B123" s="72" t="str">
        <f t="shared" si="6"/>
        <v>I-0012.0006</v>
      </c>
      <c r="C123" s="73" t="s">
        <v>996</v>
      </c>
      <c r="D123" s="67" t="s">
        <v>5</v>
      </c>
    </row>
    <row r="124" spans="1:4" x14ac:dyDescent="0.2">
      <c r="B124" s="74"/>
      <c r="C124" s="74"/>
      <c r="D124" s="67"/>
    </row>
    <row r="125" spans="1:4" x14ac:dyDescent="0.2">
      <c r="B125" s="67"/>
      <c r="C125" s="73"/>
      <c r="D125" s="67"/>
    </row>
    <row r="126" spans="1:4" x14ac:dyDescent="0.2">
      <c r="A126" s="69" t="s">
        <v>997</v>
      </c>
      <c r="B126" s="70" t="str">
        <f xml:space="preserve"> CONCATENATE("I-",A126)</f>
        <v>I-0013</v>
      </c>
      <c r="C126" s="71" t="s">
        <v>1181</v>
      </c>
      <c r="D126" s="67"/>
    </row>
    <row r="127" spans="1:4" x14ac:dyDescent="0.2">
      <c r="A127" s="69" t="s">
        <v>903</v>
      </c>
      <c r="B127" s="72" t="str">
        <f>CONCATENATE($B$126,".",A127)</f>
        <v>I-0013.0001</v>
      </c>
      <c r="C127" s="73" t="s">
        <v>998</v>
      </c>
      <c r="D127" s="67" t="s">
        <v>5</v>
      </c>
    </row>
    <row r="128" spans="1:4" x14ac:dyDescent="0.2">
      <c r="A128" s="69" t="s">
        <v>906</v>
      </c>
      <c r="B128" s="72" t="str">
        <f t="shared" ref="B128:B140" si="7">CONCATENATE($B$126,".",A128)</f>
        <v>I-0013.0002</v>
      </c>
      <c r="C128" s="73" t="s">
        <v>999</v>
      </c>
      <c r="D128" s="67" t="s">
        <v>5</v>
      </c>
    </row>
    <row r="129" spans="1:4" x14ac:dyDescent="0.2">
      <c r="A129" s="69" t="s">
        <v>908</v>
      </c>
      <c r="B129" s="72" t="str">
        <f t="shared" si="7"/>
        <v>I-0013.0003</v>
      </c>
      <c r="C129" s="73" t="s">
        <v>1000</v>
      </c>
      <c r="D129" s="67" t="s">
        <v>5</v>
      </c>
    </row>
    <row r="130" spans="1:4" x14ac:dyDescent="0.2">
      <c r="A130" s="69" t="s">
        <v>910</v>
      </c>
      <c r="B130" s="72" t="str">
        <f t="shared" si="7"/>
        <v>I-0013.0004</v>
      </c>
      <c r="C130" s="73" t="s">
        <v>1001</v>
      </c>
      <c r="D130" s="67" t="s">
        <v>5</v>
      </c>
    </row>
    <row r="131" spans="1:4" x14ac:dyDescent="0.2">
      <c r="A131" s="69" t="s">
        <v>912</v>
      </c>
      <c r="B131" s="72" t="str">
        <f t="shared" si="7"/>
        <v>I-0013.0005</v>
      </c>
      <c r="C131" s="73" t="s">
        <v>1002</v>
      </c>
      <c r="D131" s="67" t="s">
        <v>5</v>
      </c>
    </row>
    <row r="132" spans="1:4" x14ac:dyDescent="0.2">
      <c r="A132" s="69" t="s">
        <v>914</v>
      </c>
      <c r="B132" s="72" t="str">
        <f t="shared" si="7"/>
        <v>I-0013.0006</v>
      </c>
      <c r="C132" s="73" t="s">
        <v>1003</v>
      </c>
      <c r="D132" s="67" t="s">
        <v>5</v>
      </c>
    </row>
    <row r="133" spans="1:4" x14ac:dyDescent="0.2">
      <c r="A133" s="69" t="s">
        <v>916</v>
      </c>
      <c r="B133" s="72" t="str">
        <f t="shared" si="7"/>
        <v>I-0013.0007</v>
      </c>
      <c r="C133" s="73" t="s">
        <v>1004</v>
      </c>
      <c r="D133" s="67" t="s">
        <v>5</v>
      </c>
    </row>
    <row r="134" spans="1:4" x14ac:dyDescent="0.2">
      <c r="A134" s="69" t="s">
        <v>932</v>
      </c>
      <c r="B134" s="72" t="str">
        <f t="shared" si="7"/>
        <v>I-0013.0008</v>
      </c>
      <c r="C134" s="73" t="s">
        <v>1005</v>
      </c>
      <c r="D134" s="67" t="s">
        <v>5</v>
      </c>
    </row>
    <row r="135" spans="1:4" x14ac:dyDescent="0.2">
      <c r="A135" s="69"/>
      <c r="B135" s="72"/>
      <c r="C135" s="73"/>
      <c r="D135" s="67"/>
    </row>
    <row r="136" spans="1:4" x14ac:dyDescent="0.2">
      <c r="A136" s="69" t="s">
        <v>1010</v>
      </c>
      <c r="B136" s="70" t="str">
        <f xml:space="preserve"> CONCATENATE("I-",A136)</f>
        <v>I-0014</v>
      </c>
      <c r="C136" s="71" t="s">
        <v>1182</v>
      </c>
      <c r="D136" s="67"/>
    </row>
    <row r="137" spans="1:4" x14ac:dyDescent="0.2">
      <c r="A137" s="69" t="s">
        <v>936</v>
      </c>
      <c r="B137" s="72" t="str">
        <f t="shared" si="7"/>
        <v>I-0013.0010</v>
      </c>
      <c r="C137" s="73" t="s">
        <v>1006</v>
      </c>
      <c r="D137" s="67" t="s">
        <v>5</v>
      </c>
    </row>
    <row r="138" spans="1:4" x14ac:dyDescent="0.2">
      <c r="A138" s="69" t="s">
        <v>937</v>
      </c>
      <c r="B138" s="72" t="str">
        <f t="shared" si="7"/>
        <v>I-0013.0011</v>
      </c>
      <c r="C138" s="73" t="s">
        <v>1007</v>
      </c>
      <c r="D138" s="67" t="s">
        <v>5</v>
      </c>
    </row>
    <row r="139" spans="1:4" x14ac:dyDescent="0.2">
      <c r="A139" s="69" t="s">
        <v>939</v>
      </c>
      <c r="B139" s="72" t="str">
        <f t="shared" si="7"/>
        <v>I-0013.0012</v>
      </c>
      <c r="C139" s="73" t="s">
        <v>1008</v>
      </c>
      <c r="D139" s="67" t="s">
        <v>5</v>
      </c>
    </row>
    <row r="140" spans="1:4" x14ac:dyDescent="0.2">
      <c r="A140" s="69" t="s">
        <v>997</v>
      </c>
      <c r="B140" s="72" t="str">
        <f t="shared" si="7"/>
        <v>I-0013.0013</v>
      </c>
      <c r="C140" s="73" t="s">
        <v>1009</v>
      </c>
      <c r="D140" s="67" t="s">
        <v>5</v>
      </c>
    </row>
    <row r="141" spans="1:4" x14ac:dyDescent="0.2">
      <c r="B141" s="67"/>
      <c r="C141" s="73"/>
      <c r="D141" s="67"/>
    </row>
    <row r="142" spans="1:4" x14ac:dyDescent="0.2">
      <c r="B142" s="67"/>
      <c r="C142" s="73"/>
      <c r="D142" s="67"/>
    </row>
    <row r="143" spans="1:4" x14ac:dyDescent="0.2">
      <c r="A143" s="69" t="s">
        <v>1014</v>
      </c>
      <c r="B143" s="70" t="str">
        <f xml:space="preserve"> CONCATENATE("I-",A143)</f>
        <v>I-0015</v>
      </c>
      <c r="C143" s="71" t="s">
        <v>1011</v>
      </c>
      <c r="D143" s="67"/>
    </row>
    <row r="144" spans="1:4" x14ac:dyDescent="0.2">
      <c r="A144" s="69" t="s">
        <v>903</v>
      </c>
      <c r="B144" s="72" t="str">
        <f>CONCATENATE($B$143,".",A144)</f>
        <v>I-0015.0001</v>
      </c>
      <c r="C144" s="73" t="s">
        <v>1012</v>
      </c>
      <c r="D144" s="67" t="s">
        <v>5</v>
      </c>
    </row>
    <row r="145" spans="1:4" x14ac:dyDescent="0.2">
      <c r="A145" s="69" t="s">
        <v>906</v>
      </c>
      <c r="B145" s="72" t="str">
        <f>CONCATENATE($B$143,".",A145)</f>
        <v>I-0015.0002</v>
      </c>
      <c r="C145" s="73" t="s">
        <v>1013</v>
      </c>
      <c r="D145" s="67" t="s">
        <v>5</v>
      </c>
    </row>
    <row r="146" spans="1:4" x14ac:dyDescent="0.2">
      <c r="B146" s="75"/>
      <c r="C146" s="73"/>
      <c r="D146" s="67"/>
    </row>
    <row r="147" spans="1:4" x14ac:dyDescent="0.2">
      <c r="B147" s="74"/>
      <c r="C147" s="74"/>
      <c r="D147" s="67"/>
    </row>
    <row r="148" spans="1:4" x14ac:dyDescent="0.2">
      <c r="A148" s="69" t="s">
        <v>1026</v>
      </c>
      <c r="B148" s="70" t="str">
        <f xml:space="preserve"> CONCATENATE("I-",A148)</f>
        <v>I-0016</v>
      </c>
      <c r="C148" s="71" t="s">
        <v>1015</v>
      </c>
      <c r="D148" s="67"/>
    </row>
    <row r="149" spans="1:4" x14ac:dyDescent="0.2">
      <c r="A149" s="69" t="s">
        <v>903</v>
      </c>
      <c r="B149" s="72" t="str">
        <f>CONCATENATE($B$148,".",A149)</f>
        <v>I-0016.0001</v>
      </c>
      <c r="C149" s="73" t="s">
        <v>1016</v>
      </c>
      <c r="D149" s="67" t="s">
        <v>5</v>
      </c>
    </row>
    <row r="150" spans="1:4" x14ac:dyDescent="0.2">
      <c r="A150" s="69" t="s">
        <v>906</v>
      </c>
      <c r="B150" s="72" t="str">
        <f t="shared" ref="B150:B160" si="8">CONCATENATE($B$148,".",A150)</f>
        <v>I-0016.0002</v>
      </c>
      <c r="C150" s="73" t="s">
        <v>1017</v>
      </c>
      <c r="D150" s="67" t="s">
        <v>5</v>
      </c>
    </row>
    <row r="151" spans="1:4" x14ac:dyDescent="0.2">
      <c r="A151" s="69" t="s">
        <v>908</v>
      </c>
      <c r="B151" s="72" t="str">
        <f t="shared" si="8"/>
        <v>I-0016.0003</v>
      </c>
      <c r="C151" s="73" t="s">
        <v>1018</v>
      </c>
      <c r="D151" s="67" t="s">
        <v>5</v>
      </c>
    </row>
    <row r="152" spans="1:4" x14ac:dyDescent="0.2">
      <c r="A152" s="69"/>
      <c r="B152" s="72"/>
      <c r="C152" s="74"/>
      <c r="D152" s="67"/>
    </row>
    <row r="153" spans="1:4" x14ac:dyDescent="0.2">
      <c r="A153" s="69" t="s">
        <v>936</v>
      </c>
      <c r="B153" s="72" t="str">
        <f t="shared" si="8"/>
        <v>I-0016.0010</v>
      </c>
      <c r="C153" s="73" t="s">
        <v>1019</v>
      </c>
      <c r="D153" s="67" t="s">
        <v>5</v>
      </c>
    </row>
    <row r="154" spans="1:4" x14ac:dyDescent="0.2">
      <c r="A154" s="69" t="s">
        <v>937</v>
      </c>
      <c r="B154" s="72" t="str">
        <f t="shared" si="8"/>
        <v>I-0016.0011</v>
      </c>
      <c r="C154" s="73" t="s">
        <v>1020</v>
      </c>
      <c r="D154" s="67" t="s">
        <v>5</v>
      </c>
    </row>
    <row r="155" spans="1:4" x14ac:dyDescent="0.2">
      <c r="B155" s="72"/>
      <c r="C155" s="73"/>
      <c r="D155" s="67"/>
    </row>
    <row r="156" spans="1:4" x14ac:dyDescent="0.2">
      <c r="A156" s="69" t="s">
        <v>963</v>
      </c>
      <c r="B156" s="72" t="str">
        <f t="shared" si="8"/>
        <v>I-0016.0020</v>
      </c>
      <c r="C156" s="73" t="s">
        <v>1021</v>
      </c>
      <c r="D156" s="67" t="s">
        <v>5</v>
      </c>
    </row>
    <row r="157" spans="1:4" x14ac:dyDescent="0.2">
      <c r="A157" s="69" t="s">
        <v>948</v>
      </c>
      <c r="B157" s="72" t="str">
        <f t="shared" si="8"/>
        <v>I-0016.0021</v>
      </c>
      <c r="C157" s="73" t="s">
        <v>1022</v>
      </c>
      <c r="D157" s="67" t="s">
        <v>5</v>
      </c>
    </row>
    <row r="158" spans="1:4" x14ac:dyDescent="0.2">
      <c r="A158" s="69" t="s">
        <v>950</v>
      </c>
      <c r="B158" s="72" t="str">
        <f t="shared" si="8"/>
        <v>I-0016.0022</v>
      </c>
      <c r="C158" s="73" t="s">
        <v>1023</v>
      </c>
      <c r="D158" s="67" t="s">
        <v>5</v>
      </c>
    </row>
    <row r="159" spans="1:4" x14ac:dyDescent="0.2">
      <c r="B159" s="72"/>
      <c r="C159" s="73"/>
      <c r="D159" s="76"/>
    </row>
    <row r="160" spans="1:4" x14ac:dyDescent="0.2">
      <c r="A160" s="69" t="s">
        <v>1024</v>
      </c>
      <c r="B160" s="72" t="str">
        <f t="shared" si="8"/>
        <v>I-0016.0030</v>
      </c>
      <c r="C160" s="73" t="s">
        <v>1025</v>
      </c>
      <c r="D160" s="67" t="s">
        <v>5</v>
      </c>
    </row>
    <row r="161" spans="1:4" x14ac:dyDescent="0.2">
      <c r="B161" s="67"/>
      <c r="C161" s="73"/>
      <c r="D161" s="67"/>
    </row>
    <row r="162" spans="1:4" x14ac:dyDescent="0.2">
      <c r="B162" s="67"/>
      <c r="C162" s="73"/>
      <c r="D162" s="67"/>
    </row>
    <row r="163" spans="1:4" x14ac:dyDescent="0.2">
      <c r="A163" s="69" t="s">
        <v>1036</v>
      </c>
      <c r="B163" s="70" t="str">
        <f xml:space="preserve"> CONCATENATE("I-",A163)</f>
        <v>I-0017</v>
      </c>
      <c r="C163" s="71" t="s">
        <v>1027</v>
      </c>
      <c r="D163" s="67"/>
    </row>
    <row r="164" spans="1:4" x14ac:dyDescent="0.2">
      <c r="A164" s="69" t="s">
        <v>903</v>
      </c>
      <c r="B164" s="72" t="str">
        <f>CONCATENATE($B$163,".",A164)</f>
        <v>I-0017.0001</v>
      </c>
      <c r="C164" s="73" t="s">
        <v>1028</v>
      </c>
      <c r="D164" s="67" t="s">
        <v>5</v>
      </c>
    </row>
    <row r="165" spans="1:4" x14ac:dyDescent="0.2">
      <c r="A165" s="69" t="s">
        <v>906</v>
      </c>
      <c r="B165" s="72" t="str">
        <f t="shared" ref="B165:B172" si="9">CONCATENATE($B$163,".",A165)</f>
        <v>I-0017.0002</v>
      </c>
      <c r="C165" s="73" t="s">
        <v>1029</v>
      </c>
      <c r="D165" s="67" t="s">
        <v>5</v>
      </c>
    </row>
    <row r="166" spans="1:4" x14ac:dyDescent="0.2">
      <c r="A166" s="69" t="s">
        <v>908</v>
      </c>
      <c r="B166" s="72" t="str">
        <f t="shared" si="9"/>
        <v>I-0017.0003</v>
      </c>
      <c r="C166" s="73" t="s">
        <v>1030</v>
      </c>
      <c r="D166" s="67" t="s">
        <v>5</v>
      </c>
    </row>
    <row r="167" spans="1:4" x14ac:dyDescent="0.2">
      <c r="A167" s="69" t="s">
        <v>910</v>
      </c>
      <c r="B167" s="72" t="str">
        <f t="shared" si="9"/>
        <v>I-0017.0004</v>
      </c>
      <c r="C167" s="73" t="s">
        <v>1031</v>
      </c>
      <c r="D167" s="67" t="s">
        <v>5</v>
      </c>
    </row>
    <row r="168" spans="1:4" x14ac:dyDescent="0.2">
      <c r="A168" s="69"/>
      <c r="B168" s="72"/>
      <c r="C168" s="73"/>
      <c r="D168" s="67"/>
    </row>
    <row r="169" spans="1:4" x14ac:dyDescent="0.2">
      <c r="A169" s="69" t="s">
        <v>936</v>
      </c>
      <c r="B169" s="72" t="str">
        <f t="shared" si="9"/>
        <v>I-0017.0010</v>
      </c>
      <c r="C169" s="73" t="s">
        <v>1032</v>
      </c>
      <c r="D169" s="67" t="s">
        <v>5</v>
      </c>
    </row>
    <row r="170" spans="1:4" x14ac:dyDescent="0.2">
      <c r="A170" s="69" t="s">
        <v>937</v>
      </c>
      <c r="B170" s="72" t="str">
        <f t="shared" si="9"/>
        <v>I-0017.0011</v>
      </c>
      <c r="C170" s="73" t="s">
        <v>1033</v>
      </c>
      <c r="D170" s="67" t="s">
        <v>5</v>
      </c>
    </row>
    <row r="171" spans="1:4" x14ac:dyDescent="0.2">
      <c r="A171" s="69" t="s">
        <v>939</v>
      </c>
      <c r="B171" s="72" t="str">
        <f t="shared" si="9"/>
        <v>I-0017.0012</v>
      </c>
      <c r="C171" s="73" t="s">
        <v>1034</v>
      </c>
      <c r="D171" s="67" t="s">
        <v>5</v>
      </c>
    </row>
    <row r="172" spans="1:4" x14ac:dyDescent="0.2">
      <c r="A172" s="69" t="s">
        <v>997</v>
      </c>
      <c r="B172" s="72" t="str">
        <f t="shared" si="9"/>
        <v>I-0017.0013</v>
      </c>
      <c r="C172" s="73" t="s">
        <v>1035</v>
      </c>
      <c r="D172" s="67" t="s">
        <v>5</v>
      </c>
    </row>
    <row r="173" spans="1:4" x14ac:dyDescent="0.2">
      <c r="A173" s="68"/>
      <c r="B173" s="67"/>
      <c r="C173" s="73"/>
      <c r="D173" s="67"/>
    </row>
    <row r="174" spans="1:4" x14ac:dyDescent="0.2">
      <c r="B174" s="67"/>
      <c r="C174" s="73"/>
      <c r="D174" s="67"/>
    </row>
    <row r="175" spans="1:4" x14ac:dyDescent="0.2">
      <c r="A175" s="69" t="s">
        <v>1047</v>
      </c>
      <c r="B175" s="70" t="str">
        <f xml:space="preserve"> CONCATENATE("I-",A175)</f>
        <v>I-0018</v>
      </c>
      <c r="C175" s="71" t="s">
        <v>1037</v>
      </c>
      <c r="D175" s="67"/>
    </row>
    <row r="176" spans="1:4" x14ac:dyDescent="0.2">
      <c r="A176" s="69" t="s">
        <v>903</v>
      </c>
      <c r="B176" s="72" t="str">
        <f>CONCATENATE($B$175,".",A176)</f>
        <v>I-0018.0001</v>
      </c>
      <c r="C176" s="73" t="s">
        <v>1038</v>
      </c>
      <c r="D176" s="67" t="s">
        <v>3</v>
      </c>
    </row>
    <row r="177" spans="1:4" x14ac:dyDescent="0.2">
      <c r="A177" s="69" t="s">
        <v>906</v>
      </c>
      <c r="B177" s="72" t="str">
        <f t="shared" ref="B177:B184" si="10">CONCATENATE($B$175,".",A177)</f>
        <v>I-0018.0002</v>
      </c>
      <c r="C177" s="73" t="s">
        <v>1039</v>
      </c>
      <c r="D177" s="67" t="s">
        <v>3</v>
      </c>
    </row>
    <row r="178" spans="1:4" x14ac:dyDescent="0.2">
      <c r="A178" s="69" t="s">
        <v>908</v>
      </c>
      <c r="B178" s="72" t="str">
        <f t="shared" si="10"/>
        <v>I-0018.0003</v>
      </c>
      <c r="C178" s="73" t="s">
        <v>1040</v>
      </c>
      <c r="D178" s="67" t="s">
        <v>3</v>
      </c>
    </row>
    <row r="179" spans="1:4" x14ac:dyDescent="0.2">
      <c r="A179" s="69" t="s">
        <v>910</v>
      </c>
      <c r="B179" s="72" t="str">
        <f t="shared" si="10"/>
        <v>I-0018.0004</v>
      </c>
      <c r="C179" s="73" t="s">
        <v>1041</v>
      </c>
      <c r="D179" s="67" t="s">
        <v>1100</v>
      </c>
    </row>
    <row r="180" spans="1:4" x14ac:dyDescent="0.2">
      <c r="A180" s="69" t="s">
        <v>912</v>
      </c>
      <c r="B180" s="72" t="str">
        <f t="shared" si="10"/>
        <v>I-0018.0005</v>
      </c>
      <c r="C180" s="73" t="s">
        <v>1042</v>
      </c>
      <c r="D180" s="67" t="s">
        <v>1100</v>
      </c>
    </row>
    <row r="181" spans="1:4" x14ac:dyDescent="0.2">
      <c r="A181" s="69" t="s">
        <v>914</v>
      </c>
      <c r="B181" s="72" t="str">
        <f t="shared" si="10"/>
        <v>I-0018.0006</v>
      </c>
      <c r="C181" s="73" t="s">
        <v>1043</v>
      </c>
      <c r="D181" s="67" t="s">
        <v>5</v>
      </c>
    </row>
    <row r="182" spans="1:4" x14ac:dyDescent="0.2">
      <c r="A182" s="69" t="s">
        <v>916</v>
      </c>
      <c r="B182" s="72" t="str">
        <f t="shared" si="10"/>
        <v>I-0018.0007</v>
      </c>
      <c r="C182" s="73" t="s">
        <v>1044</v>
      </c>
      <c r="D182" s="67" t="s">
        <v>5</v>
      </c>
    </row>
    <row r="183" spans="1:4" x14ac:dyDescent="0.2">
      <c r="A183" s="69" t="s">
        <v>932</v>
      </c>
      <c r="B183" s="72" t="str">
        <f t="shared" si="10"/>
        <v>I-0018.0008</v>
      </c>
      <c r="C183" s="73" t="s">
        <v>1045</v>
      </c>
      <c r="D183" s="67" t="s">
        <v>5</v>
      </c>
    </row>
    <row r="184" spans="1:4" x14ac:dyDescent="0.2">
      <c r="A184" s="69" t="s">
        <v>934</v>
      </c>
      <c r="B184" s="72" t="str">
        <f t="shared" si="10"/>
        <v>I-0018.0009</v>
      </c>
      <c r="C184" s="73" t="s">
        <v>1046</v>
      </c>
      <c r="D184" s="67" t="s">
        <v>3</v>
      </c>
    </row>
    <row r="185" spans="1:4" x14ac:dyDescent="0.2">
      <c r="B185" s="67"/>
      <c r="C185" s="73"/>
      <c r="D185" s="76"/>
    </row>
    <row r="186" spans="1:4" x14ac:dyDescent="0.2">
      <c r="B186" s="67"/>
      <c r="C186" s="73"/>
      <c r="D186" s="67"/>
    </row>
    <row r="187" spans="1:4" x14ac:dyDescent="0.2">
      <c r="A187" s="69" t="s">
        <v>1054</v>
      </c>
      <c r="B187" s="70" t="str">
        <f xml:space="preserve"> CONCATENATE("I-",A187)</f>
        <v>I-0019</v>
      </c>
      <c r="C187" s="71" t="s">
        <v>1055</v>
      </c>
      <c r="D187" s="67"/>
    </row>
    <row r="188" spans="1:4" x14ac:dyDescent="0.2">
      <c r="A188" s="69" t="s">
        <v>903</v>
      </c>
      <c r="B188" s="72" t="str">
        <f t="shared" ref="B188:B193" si="11">CONCATENATE($B$187,".",A188)</f>
        <v>I-0019.0001</v>
      </c>
      <c r="C188" s="73" t="s">
        <v>342</v>
      </c>
      <c r="D188" s="67" t="s">
        <v>3</v>
      </c>
    </row>
    <row r="189" spans="1:4" x14ac:dyDescent="0.2">
      <c r="A189" s="69" t="s">
        <v>906</v>
      </c>
      <c r="B189" s="72" t="str">
        <f t="shared" si="11"/>
        <v>I-0019.0002</v>
      </c>
      <c r="C189" s="73" t="s">
        <v>1056</v>
      </c>
      <c r="D189" s="67" t="s">
        <v>3</v>
      </c>
    </row>
    <row r="190" spans="1:4" x14ac:dyDescent="0.2">
      <c r="A190" s="69" t="s">
        <v>908</v>
      </c>
      <c r="B190" s="72" t="str">
        <f t="shared" si="11"/>
        <v>I-0019.0003</v>
      </c>
      <c r="C190" s="73" t="s">
        <v>1057</v>
      </c>
      <c r="D190" s="77" t="s">
        <v>3</v>
      </c>
    </row>
    <row r="191" spans="1:4" x14ac:dyDescent="0.2">
      <c r="A191" s="69" t="s">
        <v>910</v>
      </c>
      <c r="B191" s="72" t="str">
        <f t="shared" si="11"/>
        <v>I-0019.0004</v>
      </c>
      <c r="C191" s="73" t="s">
        <v>1058</v>
      </c>
      <c r="D191" s="77" t="s">
        <v>3</v>
      </c>
    </row>
    <row r="192" spans="1:4" x14ac:dyDescent="0.2">
      <c r="A192" s="69" t="s">
        <v>912</v>
      </c>
      <c r="B192" s="72" t="str">
        <f t="shared" si="11"/>
        <v>I-0019.0005</v>
      </c>
      <c r="C192" s="73" t="s">
        <v>1059</v>
      </c>
      <c r="D192" s="77" t="s">
        <v>3</v>
      </c>
    </row>
    <row r="193" spans="1:4" x14ac:dyDescent="0.2">
      <c r="A193" s="69" t="s">
        <v>914</v>
      </c>
      <c r="B193" s="72" t="str">
        <f t="shared" si="11"/>
        <v>I-0019.0006</v>
      </c>
      <c r="C193" s="73" t="s">
        <v>1060</v>
      </c>
      <c r="D193" s="77" t="s">
        <v>3</v>
      </c>
    </row>
    <row r="194" spans="1:4" x14ac:dyDescent="0.2">
      <c r="A194" s="69"/>
      <c r="B194" s="67"/>
      <c r="C194" s="73"/>
      <c r="D194" s="77"/>
    </row>
    <row r="195" spans="1:4" x14ac:dyDescent="0.2">
      <c r="A195" s="69"/>
      <c r="B195" s="67"/>
      <c r="C195" s="73"/>
      <c r="D195" s="77"/>
    </row>
    <row r="196" spans="1:4" x14ac:dyDescent="0.2">
      <c r="A196" s="69"/>
      <c r="B196" s="67"/>
      <c r="D196" s="76"/>
    </row>
    <row r="197" spans="1:4" x14ac:dyDescent="0.2">
      <c r="A197" s="69" t="s">
        <v>936</v>
      </c>
      <c r="B197" s="72" t="str">
        <f>CONCATENATE($B$187,".",A197)</f>
        <v>I-0019.0010</v>
      </c>
      <c r="C197" s="73" t="s">
        <v>1061</v>
      </c>
      <c r="D197" s="77" t="s">
        <v>3</v>
      </c>
    </row>
    <row r="198" spans="1:4" x14ac:dyDescent="0.2">
      <c r="A198" s="69" t="s">
        <v>937</v>
      </c>
      <c r="B198" s="72" t="str">
        <f>CONCATENATE($B$187,".",A198)</f>
        <v>I-0019.0011</v>
      </c>
      <c r="C198" s="73" t="s">
        <v>1062</v>
      </c>
      <c r="D198" s="77" t="s">
        <v>3</v>
      </c>
    </row>
    <row r="199" spans="1:4" x14ac:dyDescent="0.2">
      <c r="A199" s="69" t="s">
        <v>939</v>
      </c>
      <c r="B199" s="72" t="str">
        <f>CONCATENATE($B$187,".",A199)</f>
        <v>I-0019.0012</v>
      </c>
      <c r="C199" s="73" t="s">
        <v>1063</v>
      </c>
      <c r="D199" s="77" t="s">
        <v>3</v>
      </c>
    </row>
    <row r="200" spans="1:4" x14ac:dyDescent="0.2">
      <c r="A200" s="69" t="s">
        <v>997</v>
      </c>
      <c r="B200" s="72" t="str">
        <f>CONCATENATE($B$187,".",A200)</f>
        <v>I-0019.0013</v>
      </c>
      <c r="C200" s="73" t="s">
        <v>1064</v>
      </c>
      <c r="D200" s="77" t="s">
        <v>3</v>
      </c>
    </row>
    <row r="201" spans="1:4" x14ac:dyDescent="0.2">
      <c r="A201" s="69" t="s">
        <v>1010</v>
      </c>
      <c r="B201" s="72" t="str">
        <f>CONCATENATE($B$187,".",A201)</f>
        <v>I-0019.0014</v>
      </c>
      <c r="C201" s="73" t="s">
        <v>1065</v>
      </c>
      <c r="D201" s="77" t="s">
        <v>3</v>
      </c>
    </row>
    <row r="202" spans="1:4" x14ac:dyDescent="0.2">
      <c r="A202" s="68"/>
      <c r="B202" s="67"/>
      <c r="C202" s="73"/>
      <c r="D202" s="76"/>
    </row>
    <row r="203" spans="1:4" x14ac:dyDescent="0.2">
      <c r="A203" s="69" t="s">
        <v>963</v>
      </c>
      <c r="B203" s="72" t="str">
        <f>CONCATENATE($B$187,".",A203)</f>
        <v>I-0019.0020</v>
      </c>
      <c r="C203" s="73" t="s">
        <v>345</v>
      </c>
      <c r="D203" s="77" t="s">
        <v>3</v>
      </c>
    </row>
    <row r="204" spans="1:4" x14ac:dyDescent="0.2">
      <c r="A204" s="69" t="s">
        <v>948</v>
      </c>
      <c r="B204" s="72" t="str">
        <f>CONCATENATE($B$187,".",A204)</f>
        <v>I-0019.0021</v>
      </c>
      <c r="C204" s="73" t="s">
        <v>1066</v>
      </c>
      <c r="D204" s="77" t="s">
        <v>3</v>
      </c>
    </row>
    <row r="205" spans="1:4" x14ac:dyDescent="0.2">
      <c r="A205" s="69" t="s">
        <v>950</v>
      </c>
      <c r="B205" s="72" t="str">
        <f>CONCATENATE($B$187,".",A205)</f>
        <v>I-0019.0022</v>
      </c>
      <c r="C205" s="73" t="s">
        <v>1067</v>
      </c>
      <c r="D205" s="77" t="s">
        <v>3</v>
      </c>
    </row>
    <row r="206" spans="1:4" x14ac:dyDescent="0.2">
      <c r="A206" s="69"/>
      <c r="B206" s="74"/>
      <c r="C206" s="74"/>
      <c r="D206" s="76"/>
    </row>
    <row r="207" spans="1:4" x14ac:dyDescent="0.2">
      <c r="A207" s="69" t="s">
        <v>1024</v>
      </c>
      <c r="B207" s="72" t="str">
        <f>CONCATENATE($B$187,".",A207)</f>
        <v>I-0019.0030</v>
      </c>
      <c r="C207" s="73" t="s">
        <v>1068</v>
      </c>
      <c r="D207" s="77" t="s">
        <v>3</v>
      </c>
    </row>
    <row r="208" spans="1:4" x14ac:dyDescent="0.2">
      <c r="A208" s="69"/>
      <c r="B208" s="74"/>
      <c r="C208" s="74"/>
      <c r="D208" s="67"/>
    </row>
    <row r="209" spans="1:4" x14ac:dyDescent="0.2">
      <c r="A209" s="69" t="s">
        <v>1069</v>
      </c>
      <c r="B209" s="72" t="str">
        <f>CONCATENATE($B$187,".",A209)</f>
        <v>I-0019.0040</v>
      </c>
      <c r="C209" s="73" t="s">
        <v>1070</v>
      </c>
      <c r="D209" s="77" t="s">
        <v>3</v>
      </c>
    </row>
    <row r="210" spans="1:4" x14ac:dyDescent="0.2">
      <c r="A210" s="69"/>
      <c r="B210" s="67"/>
      <c r="C210" s="73"/>
      <c r="D210" s="67"/>
    </row>
    <row r="211" spans="1:4" x14ac:dyDescent="0.2">
      <c r="A211" s="69" t="s">
        <v>1071</v>
      </c>
      <c r="B211" s="72" t="str">
        <f>CONCATENATE($B$187,".",A211)</f>
        <v>I-0019.0050</v>
      </c>
      <c r="C211" s="73" t="s">
        <v>1072</v>
      </c>
      <c r="D211" s="77" t="s">
        <v>3</v>
      </c>
    </row>
    <row r="212" spans="1:4" x14ac:dyDescent="0.2">
      <c r="A212" s="69"/>
      <c r="B212" s="67"/>
      <c r="C212" s="73"/>
      <c r="D212" s="67"/>
    </row>
    <row r="213" spans="1:4" x14ac:dyDescent="0.2">
      <c r="A213" s="69" t="s">
        <v>1073</v>
      </c>
      <c r="B213" s="72" t="str">
        <f>CONCATENATE($B$187,".",A213)</f>
        <v>I-0019.0060</v>
      </c>
      <c r="C213" s="73" t="s">
        <v>1074</v>
      </c>
      <c r="D213" s="77" t="s">
        <v>3</v>
      </c>
    </row>
    <row r="214" spans="1:4" x14ac:dyDescent="0.2">
      <c r="B214" s="67"/>
      <c r="C214" s="73"/>
      <c r="D214" s="67"/>
    </row>
    <row r="215" spans="1:4" x14ac:dyDescent="0.2">
      <c r="B215" s="67"/>
      <c r="C215" s="73"/>
      <c r="D215" s="76"/>
    </row>
    <row r="216" spans="1:4" x14ac:dyDescent="0.2">
      <c r="A216" s="69" t="s">
        <v>963</v>
      </c>
      <c r="B216" s="70" t="str">
        <f xml:space="preserve"> CONCATENATE("I-",A216)</f>
        <v>I-0020</v>
      </c>
      <c r="C216" s="71" t="s">
        <v>1075</v>
      </c>
      <c r="D216" s="67"/>
    </row>
    <row r="217" spans="1:4" x14ac:dyDescent="0.2">
      <c r="A217" s="69" t="s">
        <v>903</v>
      </c>
      <c r="B217" s="72" t="str">
        <f>CONCATENATE($B$216,".",A217)</f>
        <v>I-0020.0001</v>
      </c>
      <c r="C217" s="73" t="s">
        <v>1076</v>
      </c>
      <c r="D217" s="67" t="s">
        <v>5</v>
      </c>
    </row>
    <row r="218" spans="1:4" x14ac:dyDescent="0.2">
      <c r="A218" s="69" t="s">
        <v>906</v>
      </c>
      <c r="B218" s="72" t="str">
        <f>CONCATENATE($B$216,".",A218)</f>
        <v>I-0020.0002</v>
      </c>
      <c r="C218" s="73" t="s">
        <v>1077</v>
      </c>
      <c r="D218" s="67" t="s">
        <v>3</v>
      </c>
    </row>
    <row r="219" spans="1:4" x14ac:dyDescent="0.2">
      <c r="A219" s="69" t="s">
        <v>908</v>
      </c>
      <c r="B219" s="72" t="str">
        <f>CONCATENATE($B$216,".",A219)</f>
        <v>I-0020.0003</v>
      </c>
      <c r="C219" s="73" t="s">
        <v>1078</v>
      </c>
      <c r="D219" s="67" t="s">
        <v>3</v>
      </c>
    </row>
    <row r="220" spans="1:4" x14ac:dyDescent="0.2">
      <c r="A220" s="69" t="s">
        <v>910</v>
      </c>
      <c r="B220" s="72" t="str">
        <f>CONCATENATE($B$216,".",A220)</f>
        <v>I-0020.0004</v>
      </c>
      <c r="C220" s="73" t="s">
        <v>1079</v>
      </c>
      <c r="D220" s="67" t="s">
        <v>5</v>
      </c>
    </row>
    <row r="221" spans="1:4" x14ac:dyDescent="0.2">
      <c r="A221" s="69" t="s">
        <v>912</v>
      </c>
      <c r="B221" s="72" t="str">
        <f>CONCATENATE($B$216,".",A221)</f>
        <v>I-0020.0005</v>
      </c>
      <c r="C221" s="73" t="s">
        <v>1080</v>
      </c>
      <c r="D221" s="67" t="s">
        <v>1100</v>
      </c>
    </row>
    <row r="222" spans="1:4" x14ac:dyDescent="0.2">
      <c r="B222" s="67"/>
      <c r="C222" s="73"/>
      <c r="D222" s="67"/>
    </row>
    <row r="223" spans="1:4" x14ac:dyDescent="0.2">
      <c r="A223" s="69"/>
      <c r="B223" s="67"/>
      <c r="C223" s="73"/>
      <c r="D223" s="67"/>
    </row>
    <row r="224" spans="1:4" x14ac:dyDescent="0.2">
      <c r="A224" s="69" t="s">
        <v>950</v>
      </c>
      <c r="B224" s="70" t="str">
        <f xml:space="preserve"> CONCATENATE("I-",A224)</f>
        <v>I-0022</v>
      </c>
      <c r="C224" s="71" t="s">
        <v>1081</v>
      </c>
      <c r="D224" s="76"/>
    </row>
    <row r="225" spans="1:4" x14ac:dyDescent="0.2">
      <c r="A225" s="69" t="s">
        <v>903</v>
      </c>
      <c r="B225" s="72" t="str">
        <f>CONCATENATE($B$224,".",A225)</f>
        <v>I-0022.0001</v>
      </c>
      <c r="C225" s="73" t="s">
        <v>1082</v>
      </c>
      <c r="D225" s="67" t="s">
        <v>3</v>
      </c>
    </row>
    <row r="226" spans="1:4" x14ac:dyDescent="0.2">
      <c r="A226" s="69" t="s">
        <v>906</v>
      </c>
      <c r="B226" s="72" t="str">
        <f t="shared" ref="B226:B232" si="12">CONCATENATE($B$224,".",A226)</f>
        <v>I-0022.0002</v>
      </c>
      <c r="C226" s="73" t="s">
        <v>1083</v>
      </c>
      <c r="D226" s="67" t="s">
        <v>3</v>
      </c>
    </row>
    <row r="227" spans="1:4" x14ac:dyDescent="0.2">
      <c r="A227" s="69" t="s">
        <v>908</v>
      </c>
      <c r="B227" s="72" t="str">
        <f t="shared" si="12"/>
        <v>I-0022.0003</v>
      </c>
      <c r="C227" s="73" t="s">
        <v>1084</v>
      </c>
      <c r="D227" s="67" t="s">
        <v>3</v>
      </c>
    </row>
    <row r="228" spans="1:4" x14ac:dyDescent="0.2">
      <c r="A228" s="69" t="s">
        <v>910</v>
      </c>
      <c r="B228" s="72" t="str">
        <f t="shared" si="12"/>
        <v>I-0022.0004</v>
      </c>
      <c r="C228" s="73" t="s">
        <v>1085</v>
      </c>
      <c r="D228" s="67" t="s">
        <v>3</v>
      </c>
    </row>
    <row r="229" spans="1:4" x14ac:dyDescent="0.2">
      <c r="A229" s="69" t="s">
        <v>912</v>
      </c>
      <c r="B229" s="72" t="str">
        <f t="shared" si="12"/>
        <v>I-0022.0005</v>
      </c>
      <c r="C229" s="73" t="s">
        <v>1086</v>
      </c>
      <c r="D229" s="67" t="s">
        <v>3</v>
      </c>
    </row>
    <row r="230" spans="1:4" x14ac:dyDescent="0.2">
      <c r="A230" s="69" t="s">
        <v>914</v>
      </c>
      <c r="B230" s="72" t="str">
        <f t="shared" si="12"/>
        <v>I-0022.0006</v>
      </c>
      <c r="C230" s="73" t="s">
        <v>1087</v>
      </c>
      <c r="D230" s="67" t="s">
        <v>3</v>
      </c>
    </row>
    <row r="231" spans="1:4" x14ac:dyDescent="0.2">
      <c r="A231" s="69" t="s">
        <v>916</v>
      </c>
      <c r="B231" s="72" t="str">
        <f t="shared" si="12"/>
        <v>I-0022.0007</v>
      </c>
      <c r="C231" s="73" t="s">
        <v>1088</v>
      </c>
      <c r="D231" s="67" t="s">
        <v>3</v>
      </c>
    </row>
    <row r="232" spans="1:4" x14ac:dyDescent="0.2">
      <c r="A232" s="69" t="s">
        <v>932</v>
      </c>
      <c r="B232" s="72" t="str">
        <f t="shared" si="12"/>
        <v>I-0022.0008</v>
      </c>
      <c r="C232" s="73" t="s">
        <v>1088</v>
      </c>
      <c r="D232" s="67" t="s">
        <v>3</v>
      </c>
    </row>
    <row r="233" spans="1:4" x14ac:dyDescent="0.2">
      <c r="B233" s="67"/>
      <c r="C233" s="73"/>
      <c r="D233" s="67"/>
    </row>
    <row r="234" spans="1:4" x14ac:dyDescent="0.2">
      <c r="B234" s="67"/>
      <c r="C234" s="73"/>
      <c r="D234" s="76"/>
    </row>
    <row r="235" spans="1:4" x14ac:dyDescent="0.2">
      <c r="A235" s="69"/>
    </row>
    <row r="236" spans="1:4" x14ac:dyDescent="0.2">
      <c r="A236" s="69"/>
    </row>
    <row r="237" spans="1:4" x14ac:dyDescent="0.2">
      <c r="A237" s="69"/>
    </row>
    <row r="238" spans="1:4" x14ac:dyDescent="0.2">
      <c r="A238" s="69"/>
    </row>
    <row r="239" spans="1:4" x14ac:dyDescent="0.2">
      <c r="A239" s="69" t="s">
        <v>1089</v>
      </c>
      <c r="B239" s="70" t="str">
        <f xml:space="preserve"> CONCATENATE("I-",A239)</f>
        <v>I-0024</v>
      </c>
      <c r="C239" s="71" t="s">
        <v>1090</v>
      </c>
      <c r="D239" s="76"/>
    </row>
    <row r="240" spans="1:4" x14ac:dyDescent="0.2">
      <c r="A240" s="69" t="s">
        <v>903</v>
      </c>
      <c r="B240" s="72" t="str">
        <f>CONCATENATE($B$239,".",A240)</f>
        <v>I-0024.0001</v>
      </c>
      <c r="C240" s="73" t="s">
        <v>1091</v>
      </c>
      <c r="D240" s="67" t="s">
        <v>724</v>
      </c>
    </row>
    <row r="241" spans="1:4" x14ac:dyDescent="0.2">
      <c r="A241" s="69" t="s">
        <v>906</v>
      </c>
      <c r="B241" s="72" t="str">
        <f>CONCATENATE($B$239,".",A241)</f>
        <v>I-0024.0002</v>
      </c>
      <c r="C241" s="73" t="s">
        <v>1092</v>
      </c>
      <c r="D241" s="67" t="s">
        <v>724</v>
      </c>
    </row>
    <row r="242" spans="1:4" x14ac:dyDescent="0.2">
      <c r="A242" s="69" t="s">
        <v>908</v>
      </c>
      <c r="B242" s="72" t="str">
        <f>CONCATENATE($B$239,".",A242)</f>
        <v>I-0024.0003</v>
      </c>
      <c r="C242" s="73" t="s">
        <v>1093</v>
      </c>
      <c r="D242" s="67" t="s">
        <v>724</v>
      </c>
    </row>
    <row r="243" spans="1:4" x14ac:dyDescent="0.2">
      <c r="A243" s="69" t="s">
        <v>910</v>
      </c>
      <c r="B243" s="72" t="str">
        <f>CONCATENATE($B$239,".",A243)</f>
        <v>I-0024.0004</v>
      </c>
      <c r="C243" s="73" t="s">
        <v>1094</v>
      </c>
      <c r="D243" s="67" t="s">
        <v>724</v>
      </c>
    </row>
    <row r="244" spans="1:4" x14ac:dyDescent="0.2">
      <c r="A244" s="69"/>
      <c r="B244" s="67"/>
      <c r="C244" s="73"/>
      <c r="D244" s="67"/>
    </row>
    <row r="245" spans="1:4" x14ac:dyDescent="0.2">
      <c r="B245" s="67"/>
      <c r="C245" s="73"/>
      <c r="D245" s="67"/>
    </row>
    <row r="246" spans="1:4" x14ac:dyDescent="0.2">
      <c r="A246" s="69" t="s">
        <v>1095</v>
      </c>
      <c r="B246" s="70" t="str">
        <f xml:space="preserve"> CONCATENATE("I-",A246)</f>
        <v>I-0025</v>
      </c>
      <c r="C246" s="71" t="s">
        <v>1096</v>
      </c>
      <c r="D246" s="76"/>
    </row>
    <row r="247" spans="1:4" x14ac:dyDescent="0.2">
      <c r="A247" s="69" t="s">
        <v>903</v>
      </c>
      <c r="B247" s="72" t="str">
        <f>CONCATENATE($B$246,".",A247)</f>
        <v>I-0025.0001</v>
      </c>
      <c r="C247" s="73" t="s">
        <v>1097</v>
      </c>
      <c r="D247" s="67" t="s">
        <v>724</v>
      </c>
    </row>
    <row r="248" spans="1:4" x14ac:dyDescent="0.2">
      <c r="A248" s="69" t="s">
        <v>906</v>
      </c>
      <c r="B248" s="72" t="str">
        <f>CONCATENATE($B$246,".",A248)</f>
        <v>I-0025.0002</v>
      </c>
      <c r="C248" s="73" t="s">
        <v>1098</v>
      </c>
      <c r="D248" s="67" t="s">
        <v>5</v>
      </c>
    </row>
    <row r="249" spans="1:4" x14ac:dyDescent="0.2">
      <c r="A249" s="69" t="s">
        <v>908</v>
      </c>
      <c r="B249" s="72" t="str">
        <f>CONCATENATE($B$246,".",A249)</f>
        <v>I-0025.0003</v>
      </c>
      <c r="C249" s="73" t="s">
        <v>1043</v>
      </c>
      <c r="D249" s="67" t="s">
        <v>5</v>
      </c>
    </row>
    <row r="250" spans="1:4" s="64" customFormat="1" x14ac:dyDescent="0.2">
      <c r="A250" s="69" t="s">
        <v>910</v>
      </c>
      <c r="B250" s="72" t="str">
        <f>CONCATENATE($B$246,".",A250)</f>
        <v>I-0025.0004</v>
      </c>
      <c r="C250" s="73" t="s">
        <v>1099</v>
      </c>
      <c r="D250" s="67" t="s">
        <v>3</v>
      </c>
    </row>
    <row r="251" spans="1:4" x14ac:dyDescent="0.2">
      <c r="A251" s="69"/>
      <c r="C251" s="64"/>
      <c r="D251" s="64"/>
    </row>
    <row r="253" spans="1:4" x14ac:dyDescent="0.2">
      <c r="A253" s="69" t="s">
        <v>1095</v>
      </c>
      <c r="B253" s="70" t="str">
        <f xml:space="preserve"> CONCATENATE("I-",A253)</f>
        <v>I-0025</v>
      </c>
      <c r="C253" s="71" t="s">
        <v>1183</v>
      </c>
      <c r="D253" s="76"/>
    </row>
    <row r="254" spans="1:4" x14ac:dyDescent="0.2">
      <c r="A254" s="69" t="s">
        <v>903</v>
      </c>
      <c r="B254" s="72" t="str">
        <f>CONCATENATE($B$253,".",A254)</f>
        <v>I-0025.0001</v>
      </c>
      <c r="C254" s="73" t="s">
        <v>1184</v>
      </c>
      <c r="D254" s="67" t="s">
        <v>5</v>
      </c>
    </row>
    <row r="258" spans="1:4" x14ac:dyDescent="0.2">
      <c r="A258" s="69" t="s">
        <v>1185</v>
      </c>
      <c r="B258" s="70" t="str">
        <f xml:space="preserve"> CONCATENATE("I-",A258)</f>
        <v>I-0026</v>
      </c>
      <c r="C258" s="71" t="s">
        <v>1048</v>
      </c>
      <c r="D258" s="76"/>
    </row>
    <row r="259" spans="1:4" x14ac:dyDescent="0.2">
      <c r="A259" s="69" t="s">
        <v>903</v>
      </c>
      <c r="B259" s="72" t="str">
        <f>CONCATENATE($B$258,".",A259)</f>
        <v>I-0026.0001</v>
      </c>
      <c r="C259" s="73" t="s">
        <v>1049</v>
      </c>
      <c r="D259" s="67" t="s">
        <v>3</v>
      </c>
    </row>
    <row r="260" spans="1:4" x14ac:dyDescent="0.2">
      <c r="A260" s="69" t="s">
        <v>906</v>
      </c>
      <c r="B260" s="72" t="str">
        <f>CONCATENATE($B$258,".",A260)</f>
        <v>I-0026.0002</v>
      </c>
      <c r="C260" s="73" t="s">
        <v>1050</v>
      </c>
      <c r="D260" s="67" t="s">
        <v>3</v>
      </c>
    </row>
    <row r="261" spans="1:4" x14ac:dyDescent="0.2">
      <c r="A261" s="69" t="s">
        <v>908</v>
      </c>
      <c r="B261" s="72" t="str">
        <f>CONCATENATE($B$258,".",A261)</f>
        <v>I-0026.0003</v>
      </c>
      <c r="C261" s="73" t="s">
        <v>1051</v>
      </c>
      <c r="D261" s="67" t="s">
        <v>3</v>
      </c>
    </row>
    <row r="262" spans="1:4" x14ac:dyDescent="0.2">
      <c r="A262" s="69" t="s">
        <v>910</v>
      </c>
      <c r="B262" s="72" t="str">
        <f>CONCATENATE($B$258,".",A262)</f>
        <v>I-0026.0004</v>
      </c>
      <c r="C262" s="73" t="s">
        <v>1052</v>
      </c>
      <c r="D262" s="67" t="s">
        <v>3</v>
      </c>
    </row>
    <row r="263" spans="1:4" x14ac:dyDescent="0.2">
      <c r="A263" s="69" t="s">
        <v>912</v>
      </c>
      <c r="B263" s="72" t="str">
        <f>CONCATENATE($B$258,".",A263)</f>
        <v>I-0026.0005</v>
      </c>
      <c r="C263" s="73" t="s">
        <v>1053</v>
      </c>
      <c r="D263" s="67" t="s">
        <v>724</v>
      </c>
    </row>
    <row r="267" spans="1:4" x14ac:dyDescent="0.2">
      <c r="A267" s="69" t="s">
        <v>1071</v>
      </c>
      <c r="B267" s="70" t="str">
        <f xml:space="preserve"> CONCATENATE("I-",A267)</f>
        <v>I-0050</v>
      </c>
      <c r="C267" s="71" t="s">
        <v>1186</v>
      </c>
      <c r="D267" s="76"/>
    </row>
    <row r="268" spans="1:4" x14ac:dyDescent="0.2">
      <c r="A268" s="69" t="s">
        <v>903</v>
      </c>
      <c r="B268" s="72" t="str">
        <f>CONCATENATE($B$267,".",A268)</f>
        <v>I-0050.0001</v>
      </c>
      <c r="C268" s="73" t="s">
        <v>1187</v>
      </c>
      <c r="D268" s="67" t="s">
        <v>724</v>
      </c>
    </row>
    <row r="269" spans="1:4" x14ac:dyDescent="0.2">
      <c r="A269" s="69" t="s">
        <v>906</v>
      </c>
      <c r="B269" s="72" t="str">
        <f>CONCATENATE($B$267,".",A269)</f>
        <v>I-0050.0002</v>
      </c>
      <c r="C269" s="73" t="s">
        <v>1188</v>
      </c>
      <c r="D269" s="67" t="s">
        <v>1100</v>
      </c>
    </row>
    <row r="270" spans="1:4" x14ac:dyDescent="0.2">
      <c r="A270" s="69" t="s">
        <v>908</v>
      </c>
      <c r="B270" s="72" t="str">
        <f>CONCATENATE($B$267,".",A270)</f>
        <v>I-0050.0003</v>
      </c>
      <c r="C270" s="73" t="s">
        <v>1189</v>
      </c>
      <c r="D270" s="67" t="s">
        <v>1100</v>
      </c>
    </row>
    <row r="271" spans="1:4" x14ac:dyDescent="0.2">
      <c r="A271" s="69" t="s">
        <v>910</v>
      </c>
      <c r="B271" s="72" t="str">
        <f>CONCATENATE($B$267,".",A271)</f>
        <v>I-0050.0004</v>
      </c>
      <c r="C271" s="73" t="s">
        <v>1190</v>
      </c>
      <c r="D271" s="67" t="s">
        <v>1100</v>
      </c>
    </row>
    <row r="275" spans="1:4" x14ac:dyDescent="0.2">
      <c r="A275" s="69" t="s">
        <v>1191</v>
      </c>
      <c r="B275" s="70" t="str">
        <f xml:space="preserve"> CONCATENATE("I-",A275)</f>
        <v>I-0051</v>
      </c>
      <c r="C275" s="71" t="s">
        <v>1192</v>
      </c>
      <c r="D275" s="76"/>
    </row>
    <row r="276" spans="1:4" x14ac:dyDescent="0.2">
      <c r="A276" s="69" t="s">
        <v>903</v>
      </c>
      <c r="B276" s="72" t="str">
        <f>CONCATENATE($B$275,".",A276)</f>
        <v>I-0051.0001</v>
      </c>
      <c r="C276" s="73" t="s">
        <v>1193</v>
      </c>
      <c r="D276" s="67" t="s">
        <v>724</v>
      </c>
    </row>
    <row r="277" spans="1:4" x14ac:dyDescent="0.2">
      <c r="A277" s="69" t="s">
        <v>906</v>
      </c>
      <c r="B277" s="72" t="str">
        <f>CONCATENATE($B$275,".",A277)</f>
        <v>I-0051.0002</v>
      </c>
      <c r="C277" s="73" t="s">
        <v>1194</v>
      </c>
      <c r="D277" s="67" t="s">
        <v>1100</v>
      </c>
    </row>
    <row r="278" spans="1:4" x14ac:dyDescent="0.2">
      <c r="A278" s="69" t="s">
        <v>908</v>
      </c>
      <c r="B278" s="72" t="str">
        <f>CONCATENATE($B$275,".",A278)</f>
        <v>I-0051.0003</v>
      </c>
      <c r="C278" s="73" t="s">
        <v>1195</v>
      </c>
      <c r="D278" s="67" t="s">
        <v>1100</v>
      </c>
    </row>
    <row r="279" spans="1:4" x14ac:dyDescent="0.2">
      <c r="A279" s="69" t="s">
        <v>910</v>
      </c>
      <c r="B279" s="72" t="str">
        <f>CONCATENATE($B$275,".",A279)</f>
        <v>I-0051.0004</v>
      </c>
      <c r="C279" s="73"/>
      <c r="D279" s="67"/>
    </row>
    <row r="282" spans="1:4" x14ac:dyDescent="0.2">
      <c r="A282" s="69" t="s">
        <v>1196</v>
      </c>
      <c r="B282" s="70" t="str">
        <f xml:space="preserve"> CONCATENATE("I-",A282)</f>
        <v>I-0052</v>
      </c>
      <c r="C282" s="71" t="s">
        <v>1197</v>
      </c>
      <c r="D282" s="76"/>
    </row>
    <row r="283" spans="1:4" x14ac:dyDescent="0.2">
      <c r="A283" s="69" t="s">
        <v>903</v>
      </c>
      <c r="B283" s="72" t="str">
        <f>CONCATENATE($B$282,".",A283)</f>
        <v>I-0052.0001</v>
      </c>
      <c r="C283" s="73" t="s">
        <v>1198</v>
      </c>
      <c r="D283" s="67" t="s">
        <v>724</v>
      </c>
    </row>
    <row r="284" spans="1:4" x14ac:dyDescent="0.2">
      <c r="A284" s="69" t="s">
        <v>906</v>
      </c>
      <c r="B284" s="72" t="str">
        <f>CONCATENATE($B$282,".",A284)</f>
        <v>I-0052.0002</v>
      </c>
      <c r="C284" s="73" t="s">
        <v>1199</v>
      </c>
      <c r="D284" s="67" t="s">
        <v>724</v>
      </c>
    </row>
    <row r="285" spans="1:4" x14ac:dyDescent="0.2">
      <c r="A285" s="69" t="s">
        <v>908</v>
      </c>
      <c r="B285" s="72" t="str">
        <f>CONCATENATE($B$282,".",A285)</f>
        <v>I-0052.0003</v>
      </c>
      <c r="C285" s="73" t="s">
        <v>1200</v>
      </c>
      <c r="D285" s="67" t="s">
        <v>1100</v>
      </c>
    </row>
    <row r="286" spans="1:4" x14ac:dyDescent="0.2">
      <c r="A286" s="69" t="s">
        <v>910</v>
      </c>
      <c r="B286" s="72" t="str">
        <f>CONCATENATE($B$282,".",A286)</f>
        <v>I-0052.0004</v>
      </c>
      <c r="C286" s="73" t="s">
        <v>1201</v>
      </c>
      <c r="D286" s="67" t="s">
        <v>3</v>
      </c>
    </row>
    <row r="289" spans="1:4" x14ac:dyDescent="0.2">
      <c r="A289" s="69" t="s">
        <v>1202</v>
      </c>
      <c r="B289" s="70" t="str">
        <f xml:space="preserve"> CONCATENATE("I-",A289)</f>
        <v>I-0053</v>
      </c>
      <c r="C289" s="71" t="s">
        <v>1203</v>
      </c>
      <c r="D289" s="76"/>
    </row>
    <row r="290" spans="1:4" x14ac:dyDescent="0.2">
      <c r="A290" s="69" t="s">
        <v>903</v>
      </c>
      <c r="B290" s="72" t="str">
        <f>CONCATENATE($B$289,".",A290)</f>
        <v>I-0053.0001</v>
      </c>
      <c r="C290" s="73" t="s">
        <v>1204</v>
      </c>
      <c r="D290" s="67" t="s">
        <v>3</v>
      </c>
    </row>
    <row r="291" spans="1:4" x14ac:dyDescent="0.2">
      <c r="A291" s="69" t="s">
        <v>906</v>
      </c>
      <c r="B291" s="72" t="str">
        <f>CONCATENATE($B$289,".",A291)</f>
        <v>I-0053.0002</v>
      </c>
      <c r="C291" s="73" t="s">
        <v>1205</v>
      </c>
      <c r="D291" s="67" t="s">
        <v>3</v>
      </c>
    </row>
    <row r="292" spans="1:4" x14ac:dyDescent="0.2">
      <c r="A292" s="69" t="s">
        <v>908</v>
      </c>
      <c r="B292" s="72" t="str">
        <f>CONCATENATE($B$289,".",A292)</f>
        <v>I-0053.0003</v>
      </c>
      <c r="C292" s="73" t="s">
        <v>1206</v>
      </c>
      <c r="D292" s="67" t="s">
        <v>1100</v>
      </c>
    </row>
    <row r="293" spans="1:4" x14ac:dyDescent="0.2">
      <c r="A293" s="69" t="s">
        <v>910</v>
      </c>
      <c r="B293" s="72" t="str">
        <f>CONCATENATE($B$289,".",A293)</f>
        <v>I-0053.0004</v>
      </c>
      <c r="C293" s="73"/>
      <c r="D293" s="67"/>
    </row>
    <row r="295" spans="1:4" x14ac:dyDescent="0.2">
      <c r="A295" s="69" t="s">
        <v>1207</v>
      </c>
      <c r="B295" s="70" t="str">
        <f xml:space="preserve"> CONCATENATE("I-",A295)</f>
        <v>I-0054</v>
      </c>
      <c r="C295" s="71" t="s">
        <v>1208</v>
      </c>
      <c r="D295" s="76"/>
    </row>
    <row r="296" spans="1:4" x14ac:dyDescent="0.2">
      <c r="A296" s="69" t="s">
        <v>903</v>
      </c>
      <c r="B296" s="72" t="str">
        <f>CONCATENATE($B$295,".",A296)</f>
        <v>I-0054.0001</v>
      </c>
      <c r="C296" s="73" t="s">
        <v>1209</v>
      </c>
      <c r="D296" s="67" t="s">
        <v>3</v>
      </c>
    </row>
    <row r="297" spans="1:4" x14ac:dyDescent="0.2">
      <c r="A297" s="69" t="s">
        <v>906</v>
      </c>
      <c r="B297" s="72" t="str">
        <f t="shared" ref="B297:B312" si="13">CONCATENATE($B$295,".",A297)</f>
        <v>I-0054.0002</v>
      </c>
      <c r="C297" s="73" t="s">
        <v>1148</v>
      </c>
      <c r="D297" s="67" t="s">
        <v>4</v>
      </c>
    </row>
    <row r="298" spans="1:4" x14ac:dyDescent="0.2">
      <c r="A298" s="69" t="s">
        <v>908</v>
      </c>
      <c r="B298" s="72" t="str">
        <f t="shared" si="13"/>
        <v>I-0054.0003</v>
      </c>
      <c r="C298" s="73" t="s">
        <v>1210</v>
      </c>
      <c r="D298" s="67" t="s">
        <v>4</v>
      </c>
    </row>
    <row r="299" spans="1:4" x14ac:dyDescent="0.2">
      <c r="A299" s="69" t="s">
        <v>910</v>
      </c>
      <c r="B299" s="72" t="str">
        <f t="shared" si="13"/>
        <v>I-0054.0004</v>
      </c>
      <c r="C299" s="73" t="s">
        <v>1211</v>
      </c>
      <c r="D299" s="67" t="s">
        <v>724</v>
      </c>
    </row>
    <row r="300" spans="1:4" x14ac:dyDescent="0.2">
      <c r="A300" s="69" t="s">
        <v>912</v>
      </c>
      <c r="B300" s="72" t="str">
        <f t="shared" si="13"/>
        <v>I-0054.0005</v>
      </c>
      <c r="C300" s="73" t="s">
        <v>1212</v>
      </c>
      <c r="D300" s="67" t="s">
        <v>724</v>
      </c>
    </row>
    <row r="301" spans="1:4" x14ac:dyDescent="0.2">
      <c r="A301" s="69" t="s">
        <v>914</v>
      </c>
      <c r="B301" s="72" t="str">
        <f t="shared" si="13"/>
        <v>I-0054.0006</v>
      </c>
      <c r="C301" s="73" t="s">
        <v>1149</v>
      </c>
      <c r="D301" s="67" t="s">
        <v>1100</v>
      </c>
    </row>
    <row r="302" spans="1:4" x14ac:dyDescent="0.2">
      <c r="A302" s="69" t="s">
        <v>916</v>
      </c>
      <c r="B302" s="72" t="str">
        <f t="shared" si="13"/>
        <v>I-0054.0007</v>
      </c>
      <c r="C302" s="73" t="s">
        <v>1213</v>
      </c>
      <c r="D302" s="67" t="s">
        <v>1100</v>
      </c>
    </row>
    <row r="303" spans="1:4" x14ac:dyDescent="0.2">
      <c r="A303" s="69" t="s">
        <v>932</v>
      </c>
      <c r="B303" s="72" t="str">
        <f t="shared" si="13"/>
        <v>I-0054.0008</v>
      </c>
      <c r="C303" s="73" t="s">
        <v>1214</v>
      </c>
      <c r="D303" s="67" t="s">
        <v>1100</v>
      </c>
    </row>
    <row r="304" spans="1:4" x14ac:dyDescent="0.2">
      <c r="A304" s="69" t="s">
        <v>934</v>
      </c>
      <c r="B304" s="72" t="str">
        <f t="shared" si="13"/>
        <v>I-0054.0009</v>
      </c>
      <c r="C304" s="73" t="s">
        <v>1215</v>
      </c>
      <c r="D304" s="67" t="s">
        <v>1147</v>
      </c>
    </row>
    <row r="305" spans="1:4" x14ac:dyDescent="0.2">
      <c r="A305" s="69" t="s">
        <v>936</v>
      </c>
      <c r="B305" s="72" t="str">
        <f t="shared" si="13"/>
        <v>I-0054.0010</v>
      </c>
      <c r="C305" s="73" t="s">
        <v>1216</v>
      </c>
      <c r="D305" s="67" t="s">
        <v>4</v>
      </c>
    </row>
    <row r="306" spans="1:4" x14ac:dyDescent="0.2">
      <c r="A306" s="69" t="s">
        <v>937</v>
      </c>
      <c r="B306" s="72" t="str">
        <f t="shared" si="13"/>
        <v>I-0054.0011</v>
      </c>
      <c r="C306" s="73" t="s">
        <v>1217</v>
      </c>
      <c r="D306" s="67" t="s">
        <v>4</v>
      </c>
    </row>
    <row r="307" spans="1:4" x14ac:dyDescent="0.2">
      <c r="A307" s="69" t="s">
        <v>939</v>
      </c>
      <c r="B307" s="72" t="str">
        <f t="shared" si="13"/>
        <v>I-0054.0012</v>
      </c>
      <c r="C307" s="73" t="s">
        <v>1218</v>
      </c>
      <c r="D307" s="67" t="s">
        <v>4</v>
      </c>
    </row>
    <row r="308" spans="1:4" x14ac:dyDescent="0.2">
      <c r="A308" s="69" t="s">
        <v>997</v>
      </c>
      <c r="B308" s="72" t="str">
        <f t="shared" si="13"/>
        <v>I-0054.0013</v>
      </c>
      <c r="C308" s="73" t="s">
        <v>1219</v>
      </c>
      <c r="D308" s="67" t="s">
        <v>1100</v>
      </c>
    </row>
    <row r="309" spans="1:4" x14ac:dyDescent="0.2">
      <c r="A309" s="69" t="s">
        <v>1010</v>
      </c>
      <c r="B309" s="72" t="str">
        <f t="shared" si="13"/>
        <v>I-0054.0014</v>
      </c>
      <c r="C309" s="73" t="s">
        <v>1220</v>
      </c>
      <c r="D309" s="67" t="s">
        <v>1100</v>
      </c>
    </row>
    <row r="310" spans="1:4" x14ac:dyDescent="0.2">
      <c r="A310" s="69" t="s">
        <v>1014</v>
      </c>
      <c r="B310" s="72" t="str">
        <f t="shared" si="13"/>
        <v>I-0054.0015</v>
      </c>
      <c r="C310" s="73" t="s">
        <v>1221</v>
      </c>
      <c r="D310" s="67" t="s">
        <v>5</v>
      </c>
    </row>
    <row r="311" spans="1:4" x14ac:dyDescent="0.2">
      <c r="A311" s="69" t="s">
        <v>1026</v>
      </c>
      <c r="B311" s="72" t="str">
        <f t="shared" si="13"/>
        <v>I-0054.0016</v>
      </c>
      <c r="C311" s="73" t="s">
        <v>1222</v>
      </c>
      <c r="D311" s="67" t="s">
        <v>4</v>
      </c>
    </row>
    <row r="312" spans="1:4" x14ac:dyDescent="0.2">
      <c r="A312" s="69" t="s">
        <v>1036</v>
      </c>
      <c r="B312" s="72" t="str">
        <f t="shared" si="13"/>
        <v>I-0054.0017</v>
      </c>
      <c r="C312" s="73" t="s">
        <v>1223</v>
      </c>
      <c r="D312" s="67" t="s">
        <v>3</v>
      </c>
    </row>
    <row r="314" spans="1:4" x14ac:dyDescent="0.2">
      <c r="A314" s="69" t="s">
        <v>1224</v>
      </c>
      <c r="B314" s="70" t="str">
        <f xml:space="preserve"> CONCATENATE("I-",A314)</f>
        <v>I-0055</v>
      </c>
      <c r="C314" s="71" t="s">
        <v>1225</v>
      </c>
      <c r="D314" s="76"/>
    </row>
    <row r="315" spans="1:4" x14ac:dyDescent="0.2">
      <c r="A315" s="69" t="s">
        <v>903</v>
      </c>
      <c r="B315" s="72" t="str">
        <f>CONCATENATE($B$314,".",A315)</f>
        <v>I-0055.0001</v>
      </c>
      <c r="C315" s="73" t="s">
        <v>1226</v>
      </c>
      <c r="D315" s="67" t="s">
        <v>3</v>
      </c>
    </row>
    <row r="316" spans="1:4" x14ac:dyDescent="0.2">
      <c r="A316" s="69" t="s">
        <v>906</v>
      </c>
      <c r="B316" s="72" t="str">
        <f>CONCATENATE($B$314,".",A316)</f>
        <v>I-0055.0002</v>
      </c>
      <c r="C316" s="73" t="s">
        <v>1227</v>
      </c>
      <c r="D316" s="67" t="s">
        <v>1228</v>
      </c>
    </row>
    <row r="317" spans="1:4" x14ac:dyDescent="0.2">
      <c r="A317" s="69" t="s">
        <v>908</v>
      </c>
      <c r="B317" s="72" t="str">
        <f>CONCATENATE($B$314,".",A317)</f>
        <v>I-0055.0003</v>
      </c>
      <c r="C317" s="73" t="s">
        <v>1229</v>
      </c>
      <c r="D317" s="67" t="s">
        <v>724</v>
      </c>
    </row>
    <row r="318" spans="1:4" x14ac:dyDescent="0.2">
      <c r="A318" s="69" t="s">
        <v>910</v>
      </c>
      <c r="B318" s="72" t="str">
        <f>CONCATENATE($B$314,".",A318)</f>
        <v>I-0055.0004</v>
      </c>
      <c r="C318" s="73"/>
      <c r="D318" s="67"/>
    </row>
    <row r="321" spans="1:4" x14ac:dyDescent="0.2">
      <c r="A321" s="69" t="s">
        <v>1230</v>
      </c>
      <c r="B321" s="70" t="str">
        <f xml:space="preserve"> CONCATENATE("I-",A321)</f>
        <v>I-0056</v>
      </c>
      <c r="C321" s="71" t="s">
        <v>1231</v>
      </c>
      <c r="D321" s="76"/>
    </row>
    <row r="322" spans="1:4" x14ac:dyDescent="0.2">
      <c r="A322" s="69" t="s">
        <v>903</v>
      </c>
      <c r="B322" s="72" t="str">
        <f>CONCATENATE($B$321,".",A322)</f>
        <v>I-0056.0001</v>
      </c>
      <c r="C322" s="73" t="s">
        <v>1232</v>
      </c>
      <c r="D322" s="67" t="s">
        <v>3</v>
      </c>
    </row>
    <row r="323" spans="1:4" x14ac:dyDescent="0.2">
      <c r="A323" s="69" t="s">
        <v>906</v>
      </c>
      <c r="B323" s="72" t="str">
        <f>CONCATENATE($B$321,".",A323)</f>
        <v>I-0056.0002</v>
      </c>
      <c r="C323" s="73" t="s">
        <v>1233</v>
      </c>
      <c r="D323" s="67" t="s">
        <v>3</v>
      </c>
    </row>
    <row r="324" spans="1:4" x14ac:dyDescent="0.2">
      <c r="A324" s="69" t="s">
        <v>908</v>
      </c>
      <c r="B324" s="72" t="str">
        <f>CONCATENATE($B$321,".",A324)</f>
        <v>I-0056.0003</v>
      </c>
      <c r="C324" s="73"/>
      <c r="D324" s="67"/>
    </row>
    <row r="325" spans="1:4" x14ac:dyDescent="0.2">
      <c r="A325" s="69" t="s">
        <v>910</v>
      </c>
      <c r="B325" s="72" t="str">
        <f>CONCATENATE($B$321,".",A325)</f>
        <v>I-0056.0004</v>
      </c>
      <c r="C325" s="73"/>
      <c r="D325" s="67"/>
    </row>
  </sheetData>
  <conditionalFormatting sqref="C3">
    <cfRule type="expression" dxfId="95" priority="100" stopIfTrue="1">
      <formula>#REF!&gt;0</formula>
    </cfRule>
    <cfRule type="expression" dxfId="94" priority="101" stopIfTrue="1">
      <formula>#REF!&gt;0</formula>
    </cfRule>
    <cfRule type="expression" dxfId="93" priority="102" stopIfTrue="1">
      <formula>#REF!&gt;0</formula>
    </cfRule>
  </conditionalFormatting>
  <conditionalFormatting sqref="C19 C262:C263">
    <cfRule type="expression" dxfId="92" priority="97" stopIfTrue="1">
      <formula>#REF!&gt;0</formula>
    </cfRule>
    <cfRule type="expression" dxfId="91" priority="98" stopIfTrue="1">
      <formula>#REF!&gt;0</formula>
    </cfRule>
    <cfRule type="expression" dxfId="90" priority="99" stopIfTrue="1">
      <formula>#REF!&gt;0</formula>
    </cfRule>
  </conditionalFormatting>
  <conditionalFormatting sqref="C31">
    <cfRule type="expression" dxfId="89" priority="94" stopIfTrue="1">
      <formula>#REF!&gt;0</formula>
    </cfRule>
    <cfRule type="expression" dxfId="88" priority="95" stopIfTrue="1">
      <formula>#REF!&gt;0</formula>
    </cfRule>
    <cfRule type="expression" dxfId="87" priority="96" stopIfTrue="1">
      <formula>#REF!&gt;0</formula>
    </cfRule>
  </conditionalFormatting>
  <conditionalFormatting sqref="C258">
    <cfRule type="expression" dxfId="86" priority="91" stopIfTrue="1">
      <formula>#REF!&gt;0</formula>
    </cfRule>
    <cfRule type="expression" dxfId="85" priority="92" stopIfTrue="1">
      <formula>#REF!&gt;0</formula>
    </cfRule>
    <cfRule type="expression" dxfId="84" priority="93" stopIfTrue="1">
      <formula>#REF!&gt;0</formula>
    </cfRule>
  </conditionalFormatting>
  <conditionalFormatting sqref="C109">
    <cfRule type="expression" dxfId="83" priority="88" stopIfTrue="1">
      <formula>#REF!&gt;0</formula>
    </cfRule>
    <cfRule type="expression" dxfId="82" priority="89" stopIfTrue="1">
      <formula>#REF!&gt;0</formula>
    </cfRule>
    <cfRule type="expression" dxfId="81" priority="90" stopIfTrue="1">
      <formula>#REF!&gt;0</formula>
    </cfRule>
  </conditionalFormatting>
  <conditionalFormatting sqref="C117">
    <cfRule type="expression" dxfId="80" priority="85" stopIfTrue="1">
      <formula>#REF!&gt;0</formula>
    </cfRule>
    <cfRule type="expression" dxfId="79" priority="86" stopIfTrue="1">
      <formula>#REF!&gt;0</formula>
    </cfRule>
    <cfRule type="expression" dxfId="78" priority="87" stopIfTrue="1">
      <formula>#REF!&gt;0</formula>
    </cfRule>
  </conditionalFormatting>
  <conditionalFormatting sqref="C126">
    <cfRule type="expression" dxfId="77" priority="82" stopIfTrue="1">
      <formula>#REF!&gt;0</formula>
    </cfRule>
    <cfRule type="expression" dxfId="76" priority="83" stopIfTrue="1">
      <formula>#REF!&gt;0</formula>
    </cfRule>
    <cfRule type="expression" dxfId="75" priority="84" stopIfTrue="1">
      <formula>#REF!&gt;0</formula>
    </cfRule>
  </conditionalFormatting>
  <conditionalFormatting sqref="C143">
    <cfRule type="expression" dxfId="74" priority="79" stopIfTrue="1">
      <formula>#REF!&gt;0</formula>
    </cfRule>
    <cfRule type="expression" dxfId="73" priority="80" stopIfTrue="1">
      <formula>#REF!&gt;0</formula>
    </cfRule>
    <cfRule type="expression" dxfId="72" priority="81" stopIfTrue="1">
      <formula>#REF!&gt;0</formula>
    </cfRule>
  </conditionalFormatting>
  <conditionalFormatting sqref="C148">
    <cfRule type="expression" dxfId="71" priority="76" stopIfTrue="1">
      <formula>#REF!&gt;0</formula>
    </cfRule>
    <cfRule type="expression" dxfId="70" priority="77" stopIfTrue="1">
      <formula>#REF!&gt;0</formula>
    </cfRule>
    <cfRule type="expression" dxfId="69" priority="78" stopIfTrue="1">
      <formula>#REF!&gt;0</formula>
    </cfRule>
  </conditionalFormatting>
  <conditionalFormatting sqref="C163">
    <cfRule type="expression" dxfId="68" priority="73" stopIfTrue="1">
      <formula>#REF!&gt;0</formula>
    </cfRule>
    <cfRule type="expression" dxfId="67" priority="74" stopIfTrue="1">
      <formula>#REF!&gt;0</formula>
    </cfRule>
    <cfRule type="expression" dxfId="66" priority="75" stopIfTrue="1">
      <formula>#REF!&gt;0</formula>
    </cfRule>
  </conditionalFormatting>
  <conditionalFormatting sqref="C175">
    <cfRule type="expression" dxfId="65" priority="70" stopIfTrue="1">
      <formula>#REF!&gt;0</formula>
    </cfRule>
    <cfRule type="expression" dxfId="64" priority="71" stopIfTrue="1">
      <formula>#REF!&gt;0</formula>
    </cfRule>
    <cfRule type="expression" dxfId="63" priority="72" stopIfTrue="1">
      <formula>#REF!&gt;0</formula>
    </cfRule>
  </conditionalFormatting>
  <conditionalFormatting sqref="C187">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C216">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C22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C13">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C47">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C60">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C85">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C78">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C92">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C99">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C239">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246">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25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36">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267">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275">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2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289">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9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314">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321">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78"/>
  <sheetViews>
    <sheetView view="pageBreakPreview" zoomScaleNormal="100" zoomScaleSheetLayoutView="100" workbookViewId="0">
      <selection activeCell="J8" sqref="J8"/>
    </sheetView>
  </sheetViews>
  <sheetFormatPr baseColWidth="10" defaultRowHeight="12.75" x14ac:dyDescent="0.2"/>
  <cols>
    <col min="1" max="1" width="29.85546875" customWidth="1"/>
    <col min="2" max="2" width="16.85546875" customWidth="1"/>
    <col min="6" max="6" width="19.85546875" customWidth="1"/>
    <col min="7" max="7" width="14.85546875" bestFit="1" customWidth="1"/>
    <col min="8" max="8" width="20.28515625" customWidth="1"/>
    <col min="9" max="9" width="10.140625" customWidth="1"/>
    <col min="10" max="10" width="22.5703125" bestFit="1" customWidth="1"/>
    <col min="11" max="11" width="3.5703125" customWidth="1"/>
    <col min="12" max="12" width="29.140625" customWidth="1"/>
  </cols>
  <sheetData>
    <row r="1" spans="1:10" x14ac:dyDescent="0.2">
      <c r="A1" s="390" t="s">
        <v>7</v>
      </c>
      <c r="B1" s="390" t="s">
        <v>1123</v>
      </c>
    </row>
    <row r="2" spans="1:10" x14ac:dyDescent="0.2">
      <c r="A2" s="390" t="s">
        <v>8</v>
      </c>
      <c r="B2" s="390" t="str">
        <f>+Obra</f>
        <v>BARRIO JOSÉ AMÉRICO GRIMALT - SECTOR B</v>
      </c>
    </row>
    <row r="3" spans="1:10" x14ac:dyDescent="0.2">
      <c r="A3" s="390" t="s">
        <v>12</v>
      </c>
      <c r="B3" s="390" t="str">
        <f>+Ubicación</f>
        <v>DEPTO. ULLÚM</v>
      </c>
    </row>
    <row r="4" spans="1:10" x14ac:dyDescent="0.2">
      <c r="A4" s="390" t="s">
        <v>11</v>
      </c>
      <c r="B4" t="str">
        <f>+Número_Licitación</f>
        <v>08/2019</v>
      </c>
    </row>
    <row r="5" spans="1:10" x14ac:dyDescent="0.2">
      <c r="A5" s="390" t="s">
        <v>32</v>
      </c>
      <c r="B5">
        <f>+Número_Expediente</f>
        <v>0</v>
      </c>
    </row>
    <row r="6" spans="1:10" x14ac:dyDescent="0.2">
      <c r="A6" s="390" t="s">
        <v>14</v>
      </c>
      <c r="B6" s="391">
        <f>+Presupuesto_Oficial</f>
        <v>128962339.14067999</v>
      </c>
    </row>
    <row r="7" spans="1:10" x14ac:dyDescent="0.2">
      <c r="A7" s="390" t="s">
        <v>1104</v>
      </c>
      <c r="B7" s="435">
        <v>0.05</v>
      </c>
    </row>
    <row r="8" spans="1:10" ht="23.25" x14ac:dyDescent="0.35">
      <c r="A8" s="390" t="s">
        <v>1102</v>
      </c>
      <c r="B8" s="437" t="s">
        <v>1255</v>
      </c>
      <c r="J8" s="604"/>
    </row>
    <row r="9" spans="1:10" x14ac:dyDescent="0.2">
      <c r="A9" s="390" t="s">
        <v>13</v>
      </c>
      <c r="B9" s="436">
        <f>+Plazo_Obra</f>
        <v>360</v>
      </c>
    </row>
    <row r="10" spans="1:10" x14ac:dyDescent="0.2">
      <c r="A10" s="390" t="s">
        <v>9</v>
      </c>
      <c r="B10" s="393" t="s">
        <v>1255</v>
      </c>
    </row>
    <row r="11" spans="1:10" x14ac:dyDescent="0.2">
      <c r="A11" s="390" t="s">
        <v>42</v>
      </c>
      <c r="B11" s="391">
        <f ca="1">+CyP!C11</f>
        <v>0</v>
      </c>
    </row>
    <row r="14" spans="1:10" x14ac:dyDescent="0.2">
      <c r="A14" t="s">
        <v>1256</v>
      </c>
      <c r="B14" s="390" t="s">
        <v>1257</v>
      </c>
    </row>
    <row r="16" spans="1:10" x14ac:dyDescent="0.2">
      <c r="C16" s="393" t="s">
        <v>1374</v>
      </c>
      <c r="F16" s="481">
        <f>CyP!H16/Coef_Paso_Vivienda</f>
        <v>0</v>
      </c>
      <c r="J16" s="396">
        <f>+F16*Cant_Viv_P1</f>
        <v>0</v>
      </c>
    </row>
    <row r="17" spans="1:12" x14ac:dyDescent="0.2">
      <c r="J17" s="396"/>
    </row>
    <row r="18" spans="1:12" x14ac:dyDescent="0.2">
      <c r="C18" s="393" t="s">
        <v>1375</v>
      </c>
      <c r="F18" s="394">
        <f>CyP!H17/Coef_Paso_Vivienda</f>
        <v>0</v>
      </c>
      <c r="J18" s="396">
        <f>+F18*Cant_Viv_P2</f>
        <v>0</v>
      </c>
    </row>
    <row r="20" spans="1:12" x14ac:dyDescent="0.2">
      <c r="B20" s="390" t="s">
        <v>1258</v>
      </c>
      <c r="J20" s="395">
        <f>SUM(J16:J18)</f>
        <v>0</v>
      </c>
      <c r="K20" s="477"/>
      <c r="L20" s="394"/>
    </row>
    <row r="23" spans="1:12" x14ac:dyDescent="0.2">
      <c r="A23" t="s">
        <v>1259</v>
      </c>
      <c r="B23" s="390" t="s">
        <v>1306</v>
      </c>
      <c r="C23" s="390"/>
      <c r="D23" s="390"/>
      <c r="E23" s="390"/>
      <c r="F23" s="390"/>
      <c r="G23" s="390"/>
      <c r="H23" s="390"/>
    </row>
    <row r="25" spans="1:12" x14ac:dyDescent="0.2">
      <c r="C25" t="s">
        <v>1260</v>
      </c>
      <c r="H25" s="394">
        <f ca="1">ROUND(+SUMPRODUCT(CyP!E92:E101,CyP!F92:F101),5)</f>
        <v>0</v>
      </c>
    </row>
    <row r="26" spans="1:12" x14ac:dyDescent="0.2">
      <c r="H26" s="394"/>
    </row>
    <row r="27" spans="1:12" x14ac:dyDescent="0.2">
      <c r="C27" t="s">
        <v>1289</v>
      </c>
      <c r="H27" s="394">
        <f ca="1">ROUND(SUMPRODUCT(CyP!E102,CyP!F102),5)</f>
        <v>0</v>
      </c>
    </row>
    <row r="28" spans="1:12" x14ac:dyDescent="0.2">
      <c r="H28" s="394"/>
    </row>
    <row r="29" spans="1:12" x14ac:dyDescent="0.2">
      <c r="C29" t="s">
        <v>1241</v>
      </c>
      <c r="H29" s="394">
        <f>ROUND(CyP!F103,5)</f>
        <v>0</v>
      </c>
    </row>
    <row r="30" spans="1:12" x14ac:dyDescent="0.2">
      <c r="H30" s="394"/>
    </row>
    <row r="31" spans="1:12" x14ac:dyDescent="0.2">
      <c r="C31" t="s">
        <v>1290</v>
      </c>
      <c r="H31" s="394">
        <f>ROUND(CyP!F104,5)</f>
        <v>0</v>
      </c>
    </row>
    <row r="32" spans="1:12" x14ac:dyDescent="0.2">
      <c r="H32" s="394"/>
    </row>
    <row r="33" spans="2:10" x14ac:dyDescent="0.2">
      <c r="C33" t="s">
        <v>1261</v>
      </c>
      <c r="H33" s="394">
        <f ca="1">ROUND(+SUMPRODUCT(CyP!E105:E110,CyP!F105:F110),5)</f>
        <v>0</v>
      </c>
    </row>
    <row r="34" spans="2:10" x14ac:dyDescent="0.2">
      <c r="H34" s="394"/>
    </row>
    <row r="35" spans="2:10" x14ac:dyDescent="0.2">
      <c r="C35" t="s">
        <v>1262</v>
      </c>
      <c r="H35" s="394">
        <f ca="1">ROUND(+SUMPRODUCT(CyP!E111:E116,CyP!F111:F116),5)</f>
        <v>0</v>
      </c>
    </row>
    <row r="36" spans="2:10" x14ac:dyDescent="0.2">
      <c r="H36" s="394"/>
    </row>
    <row r="37" spans="2:10" x14ac:dyDescent="0.2">
      <c r="C37" t="s">
        <v>1232</v>
      </c>
      <c r="H37" s="394">
        <f>+ROUND(CyP!F117,5)</f>
        <v>0</v>
      </c>
    </row>
    <row r="38" spans="2:10" x14ac:dyDescent="0.2">
      <c r="H38" s="394"/>
    </row>
    <row r="39" spans="2:10" x14ac:dyDescent="0.2">
      <c r="B39" s="390" t="s">
        <v>1307</v>
      </c>
      <c r="H39" s="391">
        <f ca="1">SUM(H25:H38)</f>
        <v>0</v>
      </c>
    </row>
    <row r="40" spans="2:10" x14ac:dyDescent="0.2">
      <c r="B40" s="390"/>
      <c r="H40" s="391"/>
    </row>
    <row r="41" spans="2:10" x14ac:dyDescent="0.2">
      <c r="B41" s="390" t="s">
        <v>1225</v>
      </c>
      <c r="H41" s="391"/>
    </row>
    <row r="42" spans="2:10" x14ac:dyDescent="0.2">
      <c r="B42" s="390"/>
      <c r="H42" s="391"/>
    </row>
    <row r="43" spans="2:10" x14ac:dyDescent="0.2">
      <c r="B43" s="390"/>
      <c r="C43" t="s">
        <v>1368</v>
      </c>
      <c r="H43" s="521">
        <f ca="1">+ROUND(SUMPRODUCT(CyP!E119,CyP!F119),5)</f>
        <v>0</v>
      </c>
    </row>
    <row r="44" spans="2:10" x14ac:dyDescent="0.2">
      <c r="B44" s="390"/>
      <c r="H44" s="391"/>
    </row>
    <row r="45" spans="2:10" x14ac:dyDescent="0.2">
      <c r="B45" s="390" t="s">
        <v>1316</v>
      </c>
      <c r="H45" s="391">
        <f ca="1">+H39+H43</f>
        <v>0</v>
      </c>
    </row>
    <row r="46" spans="2:10" x14ac:dyDescent="0.2">
      <c r="B46" s="390"/>
      <c r="H46" s="391"/>
    </row>
    <row r="47" spans="2:10" x14ac:dyDescent="0.2">
      <c r="B47" s="390"/>
      <c r="H47" s="394"/>
    </row>
    <row r="48" spans="2:10" x14ac:dyDescent="0.2">
      <c r="B48" s="390" t="s">
        <v>1263</v>
      </c>
      <c r="H48" s="391">
        <f ca="1">H45</f>
        <v>0</v>
      </c>
      <c r="J48" s="395">
        <f>+J20</f>
        <v>0</v>
      </c>
    </row>
    <row r="49" spans="3:10" x14ac:dyDescent="0.2">
      <c r="H49" s="394"/>
      <c r="J49" s="395"/>
    </row>
    <row r="50" spans="3:10" x14ac:dyDescent="0.2">
      <c r="C50" t="s">
        <v>1117</v>
      </c>
      <c r="F50" s="392">
        <v>0.15</v>
      </c>
      <c r="H50" s="394">
        <f ca="1">H48*F50</f>
        <v>0</v>
      </c>
      <c r="J50" s="396">
        <f>J48*F50</f>
        <v>0</v>
      </c>
    </row>
    <row r="51" spans="3:10" x14ac:dyDescent="0.2">
      <c r="C51" t="s">
        <v>1264</v>
      </c>
      <c r="H51" s="391">
        <f ca="1">H48+H50</f>
        <v>0</v>
      </c>
      <c r="J51" s="395">
        <f>+J48+J50</f>
        <v>0</v>
      </c>
    </row>
    <row r="52" spans="3:10" x14ac:dyDescent="0.2">
      <c r="H52" s="394"/>
      <c r="J52" s="396"/>
    </row>
    <row r="53" spans="3:10" x14ac:dyDescent="0.2">
      <c r="C53" t="s">
        <v>1265</v>
      </c>
      <c r="F53" s="392">
        <v>0.1</v>
      </c>
      <c r="H53" s="394">
        <f ca="1">H48*F53</f>
        <v>0</v>
      </c>
      <c r="J53" s="396">
        <f>+J48*F53</f>
        <v>0</v>
      </c>
    </row>
    <row r="54" spans="3:10" x14ac:dyDescent="0.2">
      <c r="C54" t="s">
        <v>1264</v>
      </c>
      <c r="F54" s="392"/>
      <c r="H54" s="391">
        <f ca="1">H51+H53</f>
        <v>0</v>
      </c>
      <c r="J54" s="395">
        <f>+J51+J53</f>
        <v>0</v>
      </c>
    </row>
    <row r="55" spans="3:10" x14ac:dyDescent="0.2">
      <c r="F55" s="392"/>
      <c r="H55" s="394"/>
      <c r="J55" s="396"/>
    </row>
    <row r="56" spans="3:10" x14ac:dyDescent="0.2">
      <c r="C56" t="s">
        <v>1266</v>
      </c>
      <c r="F56" s="392"/>
      <c r="H56" s="394"/>
      <c r="J56" s="396"/>
    </row>
    <row r="57" spans="3:10" x14ac:dyDescent="0.2">
      <c r="C57" t="s">
        <v>1267</v>
      </c>
      <c r="F57" s="392">
        <v>0.105</v>
      </c>
      <c r="H57" s="394"/>
      <c r="J57" s="396">
        <f>+J54*F57</f>
        <v>0</v>
      </c>
    </row>
    <row r="58" spans="3:10" x14ac:dyDescent="0.2">
      <c r="C58" t="s">
        <v>1268</v>
      </c>
      <c r="F58" s="392">
        <v>2.4E-2</v>
      </c>
      <c r="H58" s="394"/>
      <c r="J58" s="396">
        <f>+J54*F58</f>
        <v>0</v>
      </c>
    </row>
    <row r="59" spans="3:10" x14ac:dyDescent="0.2">
      <c r="F59" s="392"/>
      <c r="H59" s="394"/>
    </row>
    <row r="60" spans="3:10" x14ac:dyDescent="0.2">
      <c r="C60" t="s">
        <v>1269</v>
      </c>
      <c r="F60" s="392">
        <v>0.21</v>
      </c>
      <c r="H60" s="394">
        <f ca="1">H54*F60</f>
        <v>0</v>
      </c>
    </row>
    <row r="61" spans="3:10" x14ac:dyDescent="0.2">
      <c r="C61" t="s">
        <v>1270</v>
      </c>
      <c r="F61" s="392">
        <v>2.4E-2</v>
      </c>
      <c r="H61" s="394">
        <f ca="1">H54*F61</f>
        <v>0</v>
      </c>
    </row>
    <row r="62" spans="3:10" x14ac:dyDescent="0.2">
      <c r="H62" s="394"/>
    </row>
    <row r="63" spans="3:10" x14ac:dyDescent="0.2">
      <c r="H63" s="394"/>
    </row>
    <row r="64" spans="3:10" x14ac:dyDescent="0.2">
      <c r="H64" s="394"/>
    </row>
    <row r="65" spans="1:12" x14ac:dyDescent="0.2">
      <c r="A65" s="390" t="s">
        <v>1305</v>
      </c>
      <c r="H65" s="391">
        <f ca="1">(H54+H60+H61)</f>
        <v>0</v>
      </c>
      <c r="L65" s="101"/>
    </row>
    <row r="67" spans="1:12" x14ac:dyDescent="0.2">
      <c r="H67" s="394"/>
    </row>
    <row r="68" spans="1:12" x14ac:dyDescent="0.2">
      <c r="A68" s="390" t="s">
        <v>1271</v>
      </c>
      <c r="G68" s="394"/>
      <c r="J68" s="395">
        <f>+J54+J57+J58</f>
        <v>0</v>
      </c>
      <c r="K68" s="394"/>
      <c r="L68" s="478"/>
    </row>
    <row r="69" spans="1:12" x14ac:dyDescent="0.2">
      <c r="H69" s="394"/>
    </row>
    <row r="71" spans="1:12" x14ac:dyDescent="0.2">
      <c r="A71" s="390" t="s">
        <v>1272</v>
      </c>
      <c r="J71" s="395">
        <f ca="1">+H65+J68</f>
        <v>0</v>
      </c>
      <c r="K71" s="394"/>
      <c r="L71" s="394"/>
    </row>
    <row r="72" spans="1:12" ht="15" x14ac:dyDescent="0.2">
      <c r="H72" s="598"/>
    </row>
    <row r="73" spans="1:12" x14ac:dyDescent="0.2">
      <c r="A73" t="str">
        <f ca="1">+CyP!A136</f>
        <v>SON PESOS: CERO PESOS CON 00/100</v>
      </c>
      <c r="H73" s="394"/>
      <c r="K73" s="394"/>
    </row>
    <row r="74" spans="1:12" x14ac:dyDescent="0.2">
      <c r="H74" s="394"/>
      <c r="J74" s="408"/>
      <c r="K74" s="408"/>
    </row>
    <row r="75" spans="1:12" x14ac:dyDescent="0.2">
      <c r="A75" t="s">
        <v>1273</v>
      </c>
      <c r="H75" s="394"/>
    </row>
    <row r="76" spans="1:12" x14ac:dyDescent="0.2">
      <c r="A76" t="s">
        <v>1274</v>
      </c>
      <c r="I76" s="408"/>
      <c r="J76" s="408"/>
    </row>
    <row r="77" spans="1:12" x14ac:dyDescent="0.2">
      <c r="A77" t="s">
        <v>1275</v>
      </c>
    </row>
    <row r="78" spans="1:12" x14ac:dyDescent="0.2">
      <c r="L78" s="408"/>
    </row>
  </sheetData>
  <conditionalFormatting sqref="L65">
    <cfRule type="expression" dxfId="167" priority="2" stopIfTrue="1">
      <formula>#REF!=1</formula>
    </cfRule>
  </conditionalFormatting>
  <conditionalFormatting sqref="H72">
    <cfRule type="expression" dxfId="166" priority="1" stopIfTrue="1">
      <formula>#REF!=1</formula>
    </cfRule>
  </conditionalFormatting>
  <printOptions horizontalCentered="1"/>
  <pageMargins left="0.59055118110236227" right="0.19685039370078741" top="1.1417322834645669" bottom="0.74803149606299213" header="0.51181102362204722" footer="0.31496062992125984"/>
  <pageSetup paperSize="5" scale="58" orientation="portrait"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8"/>
  <dimension ref="A1:F55"/>
  <sheetViews>
    <sheetView topLeftCell="A4" workbookViewId="0">
      <selection activeCell="B28" sqref="B28"/>
    </sheetView>
  </sheetViews>
  <sheetFormatPr baseColWidth="10" defaultColWidth="11.42578125" defaultRowHeight="20.100000000000001" customHeight="1" x14ac:dyDescent="0.2"/>
  <cols>
    <col min="1" max="1" width="30.140625" style="104" customWidth="1"/>
    <col min="2" max="2" width="55.7109375" style="104" customWidth="1"/>
    <col min="3" max="3" width="20.7109375" style="104" customWidth="1"/>
    <col min="4" max="5" width="15.7109375" style="104" customWidth="1"/>
    <col min="6" max="16384" width="11.42578125" style="104"/>
  </cols>
  <sheetData>
    <row r="1" spans="1:6" s="247" customFormat="1" ht="20.100000000000001" customHeight="1" x14ac:dyDescent="0.2">
      <c r="A1" s="98" t="s">
        <v>7</v>
      </c>
      <c r="B1" s="99" t="str">
        <f>Comitente</f>
        <v>INSTITUTO PROVINCIAL DE LA VIVIENDA</v>
      </c>
      <c r="E1" s="98"/>
    </row>
    <row r="2" spans="1:6" s="63" customFormat="1" ht="20.100000000000001" customHeight="1" x14ac:dyDescent="0.2">
      <c r="A2" s="249" t="s">
        <v>8</v>
      </c>
      <c r="B2" s="425" t="str">
        <f>Obra</f>
        <v>BARRIO JOSÉ AMÉRICO GRIMALT - SECTOR B</v>
      </c>
    </row>
    <row r="3" spans="1:6" s="63" customFormat="1" ht="20.100000000000001" customHeight="1" x14ac:dyDescent="0.2">
      <c r="A3" s="249" t="s">
        <v>12</v>
      </c>
      <c r="B3" s="425" t="str">
        <f>Ubicación</f>
        <v>DEPTO. ULLÚM</v>
      </c>
    </row>
    <row r="4" spans="1:6" s="63" customFormat="1" ht="20.100000000000001" customHeight="1" x14ac:dyDescent="0.2">
      <c r="A4" s="249" t="s">
        <v>11</v>
      </c>
      <c r="B4" s="426" t="str">
        <f>Número_Licitación</f>
        <v>08/2019</v>
      </c>
    </row>
    <row r="5" spans="1:6" s="63" customFormat="1" ht="20.100000000000001" customHeight="1" x14ac:dyDescent="0.2">
      <c r="A5" s="249" t="s">
        <v>9</v>
      </c>
      <c r="B5" s="99" t="str">
        <f>Contratista</f>
        <v>xxxxxx</v>
      </c>
    </row>
    <row r="6" spans="1:6" s="247" customFormat="1" ht="20.100000000000001" customHeight="1" x14ac:dyDescent="0.2">
      <c r="A6" s="98"/>
      <c r="B6" s="98"/>
      <c r="C6" s="98"/>
      <c r="D6" s="98"/>
      <c r="E6" s="98"/>
      <c r="F6" s="98"/>
    </row>
    <row r="7" spans="1:6" ht="20.100000000000001" customHeight="1" x14ac:dyDescent="0.2">
      <c r="A7" s="619" t="s">
        <v>35</v>
      </c>
      <c r="B7" s="648"/>
      <c r="C7" s="648"/>
      <c r="D7" s="648"/>
      <c r="E7" s="620"/>
    </row>
    <row r="8" spans="1:6" ht="20.100000000000001" customHeight="1" x14ac:dyDescent="0.2">
      <c r="A8" s="649" t="s">
        <v>716</v>
      </c>
      <c r="B8" s="650"/>
      <c r="C8" s="650"/>
      <c r="D8" s="650"/>
      <c r="E8" s="651"/>
    </row>
    <row r="10" spans="1:6" ht="20.100000000000001" customHeight="1" x14ac:dyDescent="0.2">
      <c r="A10" s="646"/>
      <c r="B10" s="647"/>
      <c r="C10" s="82" t="s">
        <v>39</v>
      </c>
      <c r="D10" s="82" t="s">
        <v>36</v>
      </c>
      <c r="E10" s="82" t="s">
        <v>37</v>
      </c>
    </row>
    <row r="11" spans="1:6" ht="20.100000000000001" customHeight="1" x14ac:dyDescent="0.2">
      <c r="A11" s="644" t="s">
        <v>1122</v>
      </c>
      <c r="B11" s="645"/>
      <c r="C11" s="105">
        <f>SUBTOTAL(9,C12:C34)</f>
        <v>0</v>
      </c>
      <c r="D11" s="6">
        <f>SUBTOTAL(9,D12:D34)</f>
        <v>0</v>
      </c>
      <c r="E11" s="258"/>
    </row>
    <row r="12" spans="1:6" ht="20.100000000000001" customHeight="1" x14ac:dyDescent="0.2">
      <c r="A12" s="320"/>
      <c r="B12" s="321"/>
      <c r="C12" s="106"/>
      <c r="D12" s="5">
        <f t="shared" ref="D12:D34" si="0">IFERROR(C12/GG_Obra,0)</f>
        <v>0</v>
      </c>
      <c r="E12" s="5">
        <f t="shared" ref="E12:E34" si="1">IFERROR(C12/GG_Pesos,0)</f>
        <v>0</v>
      </c>
    </row>
    <row r="13" spans="1:6" ht="20.100000000000001" customHeight="1" x14ac:dyDescent="0.2">
      <c r="A13" s="264"/>
      <c r="B13" s="265"/>
      <c r="C13" s="106"/>
      <c r="D13" s="5">
        <f t="shared" si="0"/>
        <v>0</v>
      </c>
      <c r="E13" s="5">
        <f t="shared" si="1"/>
        <v>0</v>
      </c>
    </row>
    <row r="14" spans="1:6" ht="20.100000000000001" customHeight="1" x14ac:dyDescent="0.2">
      <c r="A14" s="264"/>
      <c r="B14" s="265"/>
      <c r="C14" s="106"/>
      <c r="D14" s="5">
        <f t="shared" si="0"/>
        <v>0</v>
      </c>
      <c r="E14" s="5">
        <f t="shared" si="1"/>
        <v>0</v>
      </c>
    </row>
    <row r="15" spans="1:6" ht="20.100000000000001" customHeight="1" x14ac:dyDescent="0.2">
      <c r="A15" s="264"/>
      <c r="B15" s="265"/>
      <c r="C15" s="106"/>
      <c r="D15" s="5">
        <f t="shared" si="0"/>
        <v>0</v>
      </c>
      <c r="E15" s="5">
        <f t="shared" si="1"/>
        <v>0</v>
      </c>
    </row>
    <row r="16" spans="1:6" ht="20.100000000000001" customHeight="1" x14ac:dyDescent="0.2">
      <c r="A16" s="264"/>
      <c r="B16" s="265"/>
      <c r="C16" s="106"/>
      <c r="D16" s="5">
        <f t="shared" si="0"/>
        <v>0</v>
      </c>
      <c r="E16" s="5">
        <f t="shared" si="1"/>
        <v>0</v>
      </c>
    </row>
    <row r="17" spans="1:5" ht="20.100000000000001" customHeight="1" x14ac:dyDescent="0.2">
      <c r="A17" s="264"/>
      <c r="B17" s="265"/>
      <c r="C17" s="106"/>
      <c r="D17" s="5">
        <f t="shared" si="0"/>
        <v>0</v>
      </c>
      <c r="E17" s="5">
        <f t="shared" si="1"/>
        <v>0</v>
      </c>
    </row>
    <row r="18" spans="1:5" ht="20.100000000000001" customHeight="1" x14ac:dyDescent="0.2">
      <c r="A18" s="264"/>
      <c r="B18" s="265"/>
      <c r="C18" s="106"/>
      <c r="D18" s="5">
        <f t="shared" si="0"/>
        <v>0</v>
      </c>
      <c r="E18" s="5">
        <f t="shared" si="1"/>
        <v>0</v>
      </c>
    </row>
    <row r="19" spans="1:5" ht="20.100000000000001" customHeight="1" x14ac:dyDescent="0.2">
      <c r="A19" s="264"/>
      <c r="B19" s="265"/>
      <c r="C19" s="106"/>
      <c r="D19" s="5">
        <f t="shared" si="0"/>
        <v>0</v>
      </c>
      <c r="E19" s="5">
        <f t="shared" si="1"/>
        <v>0</v>
      </c>
    </row>
    <row r="20" spans="1:5" ht="20.100000000000001" customHeight="1" x14ac:dyDescent="0.2">
      <c r="A20" s="264"/>
      <c r="B20" s="265"/>
      <c r="C20" s="106"/>
      <c r="D20" s="5">
        <f t="shared" si="0"/>
        <v>0</v>
      </c>
      <c r="E20" s="5">
        <f t="shared" si="1"/>
        <v>0</v>
      </c>
    </row>
    <row r="21" spans="1:5" ht="20.100000000000001" customHeight="1" x14ac:dyDescent="0.2">
      <c r="A21" s="264"/>
      <c r="B21" s="265"/>
      <c r="C21" s="106"/>
      <c r="D21" s="5">
        <f t="shared" si="0"/>
        <v>0</v>
      </c>
      <c r="E21" s="5">
        <f t="shared" si="1"/>
        <v>0</v>
      </c>
    </row>
    <row r="22" spans="1:5" ht="20.100000000000001" customHeight="1" x14ac:dyDescent="0.2">
      <c r="A22" s="264"/>
      <c r="B22" s="265"/>
      <c r="C22" s="106"/>
      <c r="D22" s="5">
        <f t="shared" si="0"/>
        <v>0</v>
      </c>
      <c r="E22" s="5">
        <f t="shared" si="1"/>
        <v>0</v>
      </c>
    </row>
    <row r="23" spans="1:5" ht="20.100000000000001" customHeight="1" x14ac:dyDescent="0.2">
      <c r="A23" s="264"/>
      <c r="B23" s="265"/>
      <c r="C23" s="106"/>
      <c r="D23" s="5">
        <f t="shared" si="0"/>
        <v>0</v>
      </c>
      <c r="E23" s="5">
        <f t="shared" si="1"/>
        <v>0</v>
      </c>
    </row>
    <row r="24" spans="1:5" ht="20.100000000000001" customHeight="1" x14ac:dyDescent="0.2">
      <c r="A24" s="264"/>
      <c r="B24" s="265"/>
      <c r="C24" s="106"/>
      <c r="D24" s="5">
        <f t="shared" si="0"/>
        <v>0</v>
      </c>
      <c r="E24" s="5">
        <f t="shared" si="1"/>
        <v>0</v>
      </c>
    </row>
    <row r="25" spans="1:5" ht="20.100000000000001" customHeight="1" x14ac:dyDescent="0.2">
      <c r="A25" s="264"/>
      <c r="B25" s="265"/>
      <c r="C25" s="106"/>
      <c r="D25" s="5">
        <f>IFERROR(C25/GG_Obra,0)</f>
        <v>0</v>
      </c>
      <c r="E25" s="5">
        <f>IFERROR(C25/GG_Pesos,0)</f>
        <v>0</v>
      </c>
    </row>
    <row r="26" spans="1:5" ht="20.100000000000001" customHeight="1" x14ac:dyDescent="0.2">
      <c r="A26" s="264"/>
      <c r="B26" s="265"/>
      <c r="C26" s="106"/>
      <c r="D26" s="5">
        <f>IFERROR(C26/GG_Obra,0)</f>
        <v>0</v>
      </c>
      <c r="E26" s="5">
        <f>IFERROR(C26/GG_Pesos,0)</f>
        <v>0</v>
      </c>
    </row>
    <row r="27" spans="1:5" ht="20.100000000000001" customHeight="1" x14ac:dyDescent="0.2">
      <c r="A27" s="264"/>
      <c r="B27" s="265"/>
      <c r="C27" s="106"/>
      <c r="D27" s="5">
        <f>IFERROR(C27/GG_Obra,0)</f>
        <v>0</v>
      </c>
      <c r="E27" s="5">
        <f>IFERROR(C27/GG_Pesos,0)</f>
        <v>0</v>
      </c>
    </row>
    <row r="28" spans="1:5" ht="20.100000000000001" customHeight="1" x14ac:dyDescent="0.2">
      <c r="A28" s="264"/>
      <c r="B28" s="265"/>
      <c r="C28" s="106"/>
      <c r="D28" s="5">
        <f>IFERROR(C28/GG_Obra,0)</f>
        <v>0</v>
      </c>
      <c r="E28" s="5">
        <f>IFERROR(C28/GG_Pesos,0)</f>
        <v>0</v>
      </c>
    </row>
    <row r="29" spans="1:5" ht="20.100000000000001" customHeight="1" x14ac:dyDescent="0.2">
      <c r="A29" s="264"/>
      <c r="B29" s="265"/>
      <c r="C29" s="106"/>
      <c r="D29" s="5">
        <f t="shared" si="0"/>
        <v>0</v>
      </c>
      <c r="E29" s="5">
        <f t="shared" si="1"/>
        <v>0</v>
      </c>
    </row>
    <row r="30" spans="1:5" ht="20.100000000000001" customHeight="1" x14ac:dyDescent="0.2">
      <c r="A30" s="264"/>
      <c r="B30" s="265"/>
      <c r="C30" s="106"/>
      <c r="D30" s="5">
        <f t="shared" si="0"/>
        <v>0</v>
      </c>
      <c r="E30" s="5">
        <f t="shared" si="1"/>
        <v>0</v>
      </c>
    </row>
    <row r="31" spans="1:5" ht="20.100000000000001" customHeight="1" x14ac:dyDescent="0.2">
      <c r="A31" s="264"/>
      <c r="B31" s="265"/>
      <c r="C31" s="106"/>
      <c r="D31" s="5">
        <f t="shared" si="0"/>
        <v>0</v>
      </c>
      <c r="E31" s="5">
        <f t="shared" si="1"/>
        <v>0</v>
      </c>
    </row>
    <row r="32" spans="1:5" ht="20.100000000000001" customHeight="1" x14ac:dyDescent="0.2">
      <c r="A32" s="264"/>
      <c r="B32" s="265"/>
      <c r="C32" s="106"/>
      <c r="D32" s="5">
        <f t="shared" si="0"/>
        <v>0</v>
      </c>
      <c r="E32" s="5">
        <f t="shared" si="1"/>
        <v>0</v>
      </c>
    </row>
    <row r="33" spans="1:5" ht="20.100000000000001" customHeight="1" x14ac:dyDescent="0.2">
      <c r="A33" s="264"/>
      <c r="B33" s="265"/>
      <c r="C33" s="106"/>
      <c r="D33" s="5">
        <f t="shared" si="0"/>
        <v>0</v>
      </c>
      <c r="E33" s="5">
        <f t="shared" si="1"/>
        <v>0</v>
      </c>
    </row>
    <row r="34" spans="1:5" ht="20.100000000000001" customHeight="1" x14ac:dyDescent="0.2">
      <c r="A34" s="264"/>
      <c r="B34" s="265"/>
      <c r="C34" s="106"/>
      <c r="D34" s="5">
        <f t="shared" si="0"/>
        <v>0</v>
      </c>
      <c r="E34" s="5">
        <f t="shared" si="1"/>
        <v>0</v>
      </c>
    </row>
    <row r="35" spans="1:5" ht="20.100000000000001" customHeight="1" x14ac:dyDescent="0.2">
      <c r="A35" s="259"/>
      <c r="B35" s="247"/>
      <c r="C35" s="247"/>
      <c r="D35" s="247"/>
      <c r="E35" s="260"/>
    </row>
    <row r="36" spans="1:5" ht="20.100000000000001" customHeight="1" x14ac:dyDescent="0.2">
      <c r="A36" s="644" t="s">
        <v>38</v>
      </c>
      <c r="B36" s="645"/>
      <c r="C36" s="105">
        <f>SUBTOTAL(9,C37:C50)</f>
        <v>0</v>
      </c>
      <c r="D36" s="81">
        <f>SUBTOTAL(9,D37:D57)</f>
        <v>0</v>
      </c>
      <c r="E36" s="260"/>
    </row>
    <row r="37" spans="1:5" ht="20.100000000000001" customHeight="1" x14ac:dyDescent="0.2">
      <c r="A37" s="264"/>
      <c r="B37" s="265"/>
      <c r="C37" s="106"/>
      <c r="D37" s="5">
        <f t="shared" ref="D37:D50" si="2">IFERROR(C37/GG_Empresa,0)</f>
        <v>0</v>
      </c>
      <c r="E37" s="5">
        <f t="shared" ref="E37:E50" si="3">IFERROR(C37/GG_Pesos,0)</f>
        <v>0</v>
      </c>
    </row>
    <row r="38" spans="1:5" ht="20.100000000000001" customHeight="1" x14ac:dyDescent="0.2">
      <c r="A38" s="264"/>
      <c r="B38" s="265"/>
      <c r="C38" s="106"/>
      <c r="D38" s="5">
        <f t="shared" si="2"/>
        <v>0</v>
      </c>
      <c r="E38" s="5">
        <f t="shared" si="3"/>
        <v>0</v>
      </c>
    </row>
    <row r="39" spans="1:5" ht="20.100000000000001" customHeight="1" x14ac:dyDescent="0.2">
      <c r="A39" s="264"/>
      <c r="B39" s="265"/>
      <c r="C39" s="106"/>
      <c r="D39" s="5">
        <f t="shared" si="2"/>
        <v>0</v>
      </c>
      <c r="E39" s="5">
        <f t="shared" si="3"/>
        <v>0</v>
      </c>
    </row>
    <row r="40" spans="1:5" ht="20.100000000000001" customHeight="1" x14ac:dyDescent="0.2">
      <c r="A40" s="264"/>
      <c r="B40" s="265"/>
      <c r="C40" s="106"/>
      <c r="D40" s="5">
        <f t="shared" si="2"/>
        <v>0</v>
      </c>
      <c r="E40" s="5">
        <f t="shared" si="3"/>
        <v>0</v>
      </c>
    </row>
    <row r="41" spans="1:5" ht="20.100000000000001" customHeight="1" x14ac:dyDescent="0.2">
      <c r="A41" s="264"/>
      <c r="B41" s="265"/>
      <c r="C41" s="106"/>
      <c r="D41" s="5">
        <f t="shared" si="2"/>
        <v>0</v>
      </c>
      <c r="E41" s="5">
        <f t="shared" si="3"/>
        <v>0</v>
      </c>
    </row>
    <row r="42" spans="1:5" ht="20.100000000000001" customHeight="1" x14ac:dyDescent="0.2">
      <c r="A42" s="264"/>
      <c r="B42" s="265"/>
      <c r="C42" s="106"/>
      <c r="D42" s="5">
        <f t="shared" si="2"/>
        <v>0</v>
      </c>
      <c r="E42" s="5">
        <f t="shared" si="3"/>
        <v>0</v>
      </c>
    </row>
    <row r="43" spans="1:5" ht="20.100000000000001" customHeight="1" x14ac:dyDescent="0.2">
      <c r="A43" s="264"/>
      <c r="B43" s="265"/>
      <c r="C43" s="106"/>
      <c r="D43" s="5">
        <f t="shared" si="2"/>
        <v>0</v>
      </c>
      <c r="E43" s="5">
        <f t="shared" si="3"/>
        <v>0</v>
      </c>
    </row>
    <row r="44" spans="1:5" ht="20.100000000000001" customHeight="1" x14ac:dyDescent="0.2">
      <c r="A44" s="264"/>
      <c r="B44" s="265"/>
      <c r="C44" s="106"/>
      <c r="D44" s="5">
        <f t="shared" si="2"/>
        <v>0</v>
      </c>
      <c r="E44" s="5">
        <f t="shared" si="3"/>
        <v>0</v>
      </c>
    </row>
    <row r="45" spans="1:5" ht="20.100000000000001" customHeight="1" x14ac:dyDescent="0.2">
      <c r="A45" s="264"/>
      <c r="B45" s="265"/>
      <c r="C45" s="106"/>
      <c r="D45" s="5">
        <f t="shared" si="2"/>
        <v>0</v>
      </c>
      <c r="E45" s="5">
        <f t="shared" si="3"/>
        <v>0</v>
      </c>
    </row>
    <row r="46" spans="1:5" ht="20.100000000000001" customHeight="1" x14ac:dyDescent="0.2">
      <c r="A46" s="264"/>
      <c r="B46" s="265"/>
      <c r="C46" s="106"/>
      <c r="D46" s="5">
        <f t="shared" si="2"/>
        <v>0</v>
      </c>
      <c r="E46" s="5">
        <f t="shared" si="3"/>
        <v>0</v>
      </c>
    </row>
    <row r="47" spans="1:5" ht="20.100000000000001" customHeight="1" x14ac:dyDescent="0.2">
      <c r="A47" s="264"/>
      <c r="B47" s="265"/>
      <c r="C47" s="106"/>
      <c r="D47" s="5">
        <f t="shared" si="2"/>
        <v>0</v>
      </c>
      <c r="E47" s="5">
        <f t="shared" si="3"/>
        <v>0</v>
      </c>
    </row>
    <row r="48" spans="1:5" ht="20.100000000000001" customHeight="1" x14ac:dyDescent="0.2">
      <c r="A48" s="264"/>
      <c r="B48" s="265"/>
      <c r="C48" s="106"/>
      <c r="D48" s="5">
        <f t="shared" si="2"/>
        <v>0</v>
      </c>
      <c r="E48" s="5">
        <f t="shared" si="3"/>
        <v>0</v>
      </c>
    </row>
    <row r="49" spans="1:5" ht="20.100000000000001" customHeight="1" x14ac:dyDescent="0.2">
      <c r="A49" s="264"/>
      <c r="B49" s="265"/>
      <c r="C49" s="106"/>
      <c r="D49" s="5">
        <f t="shared" si="2"/>
        <v>0</v>
      </c>
      <c r="E49" s="5">
        <f t="shared" si="3"/>
        <v>0</v>
      </c>
    </row>
    <row r="50" spans="1:5" ht="20.100000000000001" customHeight="1" x14ac:dyDescent="0.2">
      <c r="A50" s="264"/>
      <c r="B50" s="265"/>
      <c r="C50" s="106"/>
      <c r="D50" s="5">
        <f t="shared" si="2"/>
        <v>0</v>
      </c>
      <c r="E50" s="5">
        <f t="shared" si="3"/>
        <v>0</v>
      </c>
    </row>
    <row r="51" spans="1:5" ht="20.100000000000001" customHeight="1" x14ac:dyDescent="0.2">
      <c r="A51" s="259"/>
      <c r="B51" s="247"/>
      <c r="C51" s="247"/>
      <c r="D51" s="247"/>
      <c r="E51" s="260"/>
    </row>
    <row r="52" spans="1:5" ht="20.100000000000001" customHeight="1" x14ac:dyDescent="0.2">
      <c r="A52" s="644" t="s">
        <v>717</v>
      </c>
      <c r="B52" s="645"/>
      <c r="C52" s="105">
        <f>SUBTOTAL(9,C11:C50)</f>
        <v>0</v>
      </c>
      <c r="D52" s="261"/>
      <c r="E52" s="83">
        <f>SUBTOTAL(9,E11:E50)</f>
        <v>0</v>
      </c>
    </row>
    <row r="53" spans="1:5" ht="20.100000000000001" customHeight="1" x14ac:dyDescent="0.2">
      <c r="E53" s="262"/>
    </row>
    <row r="54" spans="1:5" ht="20.100000000000001" customHeight="1" x14ac:dyDescent="0.2">
      <c r="D54" s="263"/>
    </row>
    <row r="55" spans="1:5" ht="20.100000000000001" customHeight="1" x14ac:dyDescent="0.2">
      <c r="C55" s="4"/>
    </row>
  </sheetData>
  <mergeCells count="6">
    <mergeCell ref="A52:B52"/>
    <mergeCell ref="A10:B10"/>
    <mergeCell ref="A36:B36"/>
    <mergeCell ref="A7:E7"/>
    <mergeCell ref="A8:E8"/>
    <mergeCell ref="A11:B1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L69"/>
  <sheetViews>
    <sheetView topLeftCell="A34" workbookViewId="0">
      <selection activeCell="B24" sqref="B24"/>
    </sheetView>
  </sheetViews>
  <sheetFormatPr baseColWidth="10" defaultColWidth="11.42578125" defaultRowHeight="20.100000000000001" customHeight="1" x14ac:dyDescent="0.2"/>
  <cols>
    <col min="1" max="1" width="12.7109375" style="87" customWidth="1"/>
    <col min="2" max="2" width="64.7109375" style="87" customWidth="1"/>
    <col min="3" max="3" width="10.7109375" style="88" customWidth="1"/>
    <col min="4" max="4" width="14.7109375" style="87" customWidth="1"/>
    <col min="5" max="6" width="16.7109375" style="87" customWidth="1"/>
    <col min="7" max="7" width="19.140625" style="87" customWidth="1"/>
    <col min="8" max="9" width="11.42578125" style="87"/>
    <col min="10" max="10" width="13.85546875" style="87" bestFit="1" customWidth="1"/>
    <col min="11" max="11" width="13.5703125" style="87" customWidth="1"/>
    <col min="12" max="12" width="36.28515625" style="87" customWidth="1"/>
    <col min="13" max="16384" width="11.42578125" style="87"/>
  </cols>
  <sheetData>
    <row r="1" spans="1:11" ht="20.100000000000001" customHeight="1" x14ac:dyDescent="0.2">
      <c r="A1" s="611" t="s">
        <v>1160</v>
      </c>
      <c r="B1" s="611"/>
      <c r="C1" s="611"/>
      <c r="D1" s="611"/>
      <c r="E1" s="611"/>
      <c r="F1" s="611"/>
    </row>
    <row r="2" spans="1:11" s="109" customFormat="1" ht="20.100000000000001" customHeight="1" x14ac:dyDescent="0.2">
      <c r="A2" s="109" t="s">
        <v>1235</v>
      </c>
      <c r="B2" s="108" t="str">
        <f>Obra</f>
        <v>BARRIO JOSÉ AMÉRICO GRIMALT - SECTOR B</v>
      </c>
      <c r="C2" s="185"/>
      <c r="D2" s="110"/>
      <c r="E2" s="110"/>
      <c r="F2" s="110"/>
    </row>
    <row r="3" spans="1:11" s="109" customFormat="1" ht="20.100000000000001" customHeight="1" x14ac:dyDescent="0.2">
      <c r="A3" s="109" t="s">
        <v>1238</v>
      </c>
      <c r="B3" s="108" t="str">
        <f>Ubicación</f>
        <v>DEPTO. ULLÚM</v>
      </c>
      <c r="C3" s="110"/>
      <c r="D3" s="110"/>
      <c r="E3" s="110"/>
      <c r="F3" s="110"/>
    </row>
    <row r="4" spans="1:11" s="109" customFormat="1" ht="20.100000000000001" customHeight="1" x14ac:dyDescent="0.2">
      <c r="A4" s="109" t="s">
        <v>1128</v>
      </c>
      <c r="B4" s="116" t="s">
        <v>1355</v>
      </c>
      <c r="D4" s="110"/>
      <c r="E4" s="110"/>
      <c r="F4" s="110"/>
    </row>
    <row r="5" spans="1:11" s="109" customFormat="1" ht="20.100000000000001" customHeight="1" x14ac:dyDescent="0.2">
      <c r="A5" s="109" t="s">
        <v>1159</v>
      </c>
      <c r="B5" s="267">
        <v>49</v>
      </c>
      <c r="D5" s="110"/>
      <c r="E5" s="110"/>
      <c r="F5" s="110"/>
    </row>
    <row r="6" spans="1:11" ht="20.100000000000001" customHeight="1" x14ac:dyDescent="0.2">
      <c r="A6" s="165"/>
      <c r="B6" s="231"/>
      <c r="C6" s="165"/>
      <c r="D6" s="165"/>
      <c r="E6" s="165"/>
      <c r="F6" s="165"/>
    </row>
    <row r="7" spans="1:11" ht="20.100000000000001" customHeight="1" x14ac:dyDescent="0.2">
      <c r="A7" s="612" t="s">
        <v>1105</v>
      </c>
      <c r="B7" s="614" t="s">
        <v>0</v>
      </c>
      <c r="C7" s="612" t="s">
        <v>1</v>
      </c>
      <c r="D7" s="612" t="s">
        <v>2</v>
      </c>
      <c r="E7" s="612" t="s">
        <v>1151</v>
      </c>
      <c r="F7" s="612" t="s">
        <v>1161</v>
      </c>
    </row>
    <row r="8" spans="1:11" ht="20.100000000000001" customHeight="1" x14ac:dyDescent="0.2">
      <c r="A8" s="613"/>
      <c r="B8" s="615"/>
      <c r="C8" s="613"/>
      <c r="D8" s="613"/>
      <c r="E8" s="613"/>
      <c r="F8" s="613"/>
    </row>
    <row r="9" spans="1:11" ht="20.100000000000001" customHeight="1" x14ac:dyDescent="0.2">
      <c r="A9" s="240"/>
      <c r="B9" s="230"/>
      <c r="C9" s="174"/>
      <c r="D9" s="174"/>
      <c r="E9" s="242"/>
      <c r="F9" s="243"/>
    </row>
    <row r="10" spans="1:11" ht="20.100000000000001" customHeight="1" x14ac:dyDescent="0.2">
      <c r="A10" s="274" t="s">
        <v>1125</v>
      </c>
      <c r="B10" s="275" t="str">
        <f>IFERROR(VLOOKUP(A10,Tabla_Datos,2,FALSE),0)</f>
        <v>VIVIENDA</v>
      </c>
      <c r="C10" s="276"/>
      <c r="D10" s="277"/>
      <c r="E10" s="278"/>
      <c r="F10" s="587"/>
      <c r="G10" s="588"/>
      <c r="H10" s="588"/>
      <c r="I10" s="588"/>
      <c r="J10" s="588"/>
      <c r="K10" s="588"/>
    </row>
    <row r="11" spans="1:11" ht="20.100000000000001" customHeight="1" x14ac:dyDescent="0.2">
      <c r="A11" s="555">
        <v>1</v>
      </c>
      <c r="B11" s="527" t="str">
        <f>IFERROR(VLOOKUP(A11,Tabla_Datos,2,FALSE),0)</f>
        <v>Limpieza de terreno y replanteo</v>
      </c>
      <c r="C11" s="528" t="str">
        <f>IFERROR(VLOOKUP(A11,Tabla_Datos,3,FALSE),0)</f>
        <v>gl</v>
      </c>
      <c r="D11" s="556">
        <v>1</v>
      </c>
      <c r="E11" s="529">
        <f t="shared" ref="E11:E53" si="0">IFERROR(VLOOKUP(A11,Tabla_Comp_Presup,7,FALSE),0)</f>
        <v>0</v>
      </c>
      <c r="F11" s="557">
        <f>ROUND(D11*E11,15)</f>
        <v>0</v>
      </c>
      <c r="G11" s="576"/>
      <c r="H11" s="107"/>
      <c r="I11" s="107"/>
      <c r="J11" s="234"/>
      <c r="K11" s="576"/>
    </row>
    <row r="12" spans="1:11" ht="20.100000000000001" customHeight="1" x14ac:dyDescent="0.2">
      <c r="A12" s="555">
        <v>2</v>
      </c>
      <c r="B12" s="527" t="str">
        <f t="shared" ref="B12:B48" si="1">IFERROR(VLOOKUP(A12,Tabla_Datos,2,FALSE),0)</f>
        <v>Excavación de Cimientos</v>
      </c>
      <c r="C12" s="528" t="str">
        <f t="shared" ref="C12:C48" si="2">IFERROR(VLOOKUP(A12,Tabla_Datos,3,FALSE),0)</f>
        <v>m3</v>
      </c>
      <c r="D12" s="556">
        <v>13.9</v>
      </c>
      <c r="E12" s="529">
        <f t="shared" si="0"/>
        <v>0</v>
      </c>
      <c r="F12" s="557">
        <f t="shared" ref="F12:F53" si="3">ROUND(D12*E12,15)</f>
        <v>0</v>
      </c>
      <c r="G12" s="576"/>
      <c r="H12" s="107"/>
      <c r="I12" s="180"/>
      <c r="J12" s="234"/>
      <c r="K12" s="576"/>
    </row>
    <row r="13" spans="1:11" ht="20.100000000000001" customHeight="1" x14ac:dyDescent="0.2">
      <c r="A13" s="555">
        <v>3</v>
      </c>
      <c r="B13" s="527" t="str">
        <f t="shared" si="1"/>
        <v xml:space="preserve">Relleno Bajo Contrapiso </v>
      </c>
      <c r="C13" s="528" t="str">
        <f t="shared" si="2"/>
        <v>m3</v>
      </c>
      <c r="D13" s="556">
        <v>8.44</v>
      </c>
      <c r="E13" s="529">
        <f t="shared" si="0"/>
        <v>0</v>
      </c>
      <c r="F13" s="557">
        <f t="shared" si="3"/>
        <v>0</v>
      </c>
      <c r="G13" s="576"/>
      <c r="H13" s="107"/>
      <c r="I13" s="180"/>
      <c r="J13" s="234"/>
      <c r="K13" s="576"/>
    </row>
    <row r="14" spans="1:11" ht="20.100000000000001" customHeight="1" x14ac:dyDescent="0.2">
      <c r="A14" s="555">
        <v>4</v>
      </c>
      <c r="B14" s="527" t="str">
        <f t="shared" si="1"/>
        <v>Hormigón de limpieza</v>
      </c>
      <c r="C14" s="528" t="str">
        <f t="shared" si="2"/>
        <v>m2</v>
      </c>
      <c r="D14" s="556">
        <v>1.8</v>
      </c>
      <c r="E14" s="529">
        <f t="shared" si="0"/>
        <v>0</v>
      </c>
      <c r="F14" s="557">
        <f t="shared" si="3"/>
        <v>0</v>
      </c>
      <c r="G14" s="576"/>
      <c r="H14" s="107"/>
      <c r="I14" s="180"/>
      <c r="J14" s="234"/>
      <c r="K14" s="576"/>
    </row>
    <row r="15" spans="1:11" ht="20.100000000000001" customHeight="1" x14ac:dyDescent="0.2">
      <c r="A15" s="555">
        <v>5</v>
      </c>
      <c r="B15" s="527" t="str">
        <f>IFERROR(VLOOKUP(A15,Tabla_Datos,2,FALSE),0)</f>
        <v>Cimiento Ciclópeo H 13</v>
      </c>
      <c r="C15" s="528" t="str">
        <f>IFERROR(VLOOKUP(A15,Tabla_Datos,3,FALSE),0)</f>
        <v>m3</v>
      </c>
      <c r="D15" s="556">
        <v>12.63</v>
      </c>
      <c r="E15" s="529">
        <f t="shared" si="0"/>
        <v>0</v>
      </c>
      <c r="F15" s="557">
        <f t="shared" si="3"/>
        <v>0</v>
      </c>
      <c r="G15" s="576"/>
      <c r="H15" s="107"/>
      <c r="I15" s="107"/>
      <c r="J15" s="234"/>
      <c r="K15" s="576"/>
    </row>
    <row r="16" spans="1:11" ht="20.100000000000001" customHeight="1" x14ac:dyDescent="0.2">
      <c r="A16" s="555">
        <v>6</v>
      </c>
      <c r="B16" s="527" t="str">
        <f>IFERROR(VLOOKUP(A16,Tabla_Datos,2,FALSE),0)</f>
        <v>Dado Fundación  h=15cm</v>
      </c>
      <c r="C16" s="528" t="str">
        <f>IFERROR(VLOOKUP(A16,Tabla_Datos,3,FALSE),0)</f>
        <v>m3</v>
      </c>
      <c r="D16" s="556">
        <v>1.02</v>
      </c>
      <c r="E16" s="529">
        <f t="shared" si="0"/>
        <v>0</v>
      </c>
      <c r="F16" s="557">
        <f t="shared" si="3"/>
        <v>0</v>
      </c>
      <c r="G16" s="576"/>
      <c r="H16" s="107"/>
      <c r="I16" s="107"/>
      <c r="J16" s="234"/>
      <c r="K16" s="576"/>
    </row>
    <row r="17" spans="1:11" ht="20.100000000000001" customHeight="1" x14ac:dyDescent="0.2">
      <c r="A17" s="555">
        <v>7</v>
      </c>
      <c r="B17" s="527" t="str">
        <f t="shared" si="1"/>
        <v>Vigas de Encadenado Inferior - Fundación  H 17</v>
      </c>
      <c r="C17" s="528" t="str">
        <f t="shared" si="2"/>
        <v>m3</v>
      </c>
      <c r="D17" s="556">
        <v>1.94</v>
      </c>
      <c r="E17" s="529">
        <f t="shared" si="0"/>
        <v>0</v>
      </c>
      <c r="F17" s="557">
        <f t="shared" si="3"/>
        <v>0</v>
      </c>
      <c r="G17" s="576"/>
      <c r="H17" s="107"/>
      <c r="I17" s="107"/>
      <c r="J17" s="234"/>
      <c r="K17" s="576"/>
    </row>
    <row r="18" spans="1:11" ht="20.100000000000001" customHeight="1" x14ac:dyDescent="0.2">
      <c r="A18" s="555">
        <v>8</v>
      </c>
      <c r="B18" s="527" t="str">
        <f t="shared" si="1"/>
        <v>Columna de Encadenado (incluye tronco de columna)</v>
      </c>
      <c r="C18" s="528" t="str">
        <f t="shared" si="2"/>
        <v>m3</v>
      </c>
      <c r="D18" s="556">
        <v>3.18</v>
      </c>
      <c r="E18" s="529">
        <f t="shared" si="0"/>
        <v>0</v>
      </c>
      <c r="F18" s="557">
        <f t="shared" si="3"/>
        <v>0</v>
      </c>
      <c r="G18" s="576"/>
      <c r="H18" s="107"/>
      <c r="I18" s="107"/>
      <c r="J18" s="234"/>
      <c r="K18" s="576"/>
    </row>
    <row r="19" spans="1:11" ht="20.100000000000001" customHeight="1" x14ac:dyDescent="0.2">
      <c r="A19" s="555">
        <v>9</v>
      </c>
      <c r="B19" s="527" t="str">
        <f t="shared" si="1"/>
        <v>Vigas de Encadenado Superior, Dintel y de Carga</v>
      </c>
      <c r="C19" s="528" t="str">
        <f t="shared" si="2"/>
        <v>m3</v>
      </c>
      <c r="D19" s="556">
        <v>2.25</v>
      </c>
      <c r="E19" s="529">
        <f t="shared" si="0"/>
        <v>0</v>
      </c>
      <c r="F19" s="557">
        <f t="shared" si="3"/>
        <v>0</v>
      </c>
      <c r="G19" s="576"/>
      <c r="H19" s="107"/>
      <c r="I19" s="107"/>
      <c r="J19" s="234"/>
      <c r="K19" s="576"/>
    </row>
    <row r="20" spans="1:11" ht="20.100000000000001" customHeight="1" x14ac:dyDescent="0.2">
      <c r="A20" s="555">
        <v>10</v>
      </c>
      <c r="B20" s="527" t="str">
        <f t="shared" si="1"/>
        <v>Losa de Hormigón Armado</v>
      </c>
      <c r="C20" s="528" t="str">
        <f t="shared" si="2"/>
        <v>m3</v>
      </c>
      <c r="D20" s="556">
        <v>2.77</v>
      </c>
      <c r="E20" s="529">
        <f t="shared" si="0"/>
        <v>0</v>
      </c>
      <c r="F20" s="557">
        <f t="shared" si="3"/>
        <v>0</v>
      </c>
      <c r="G20" s="576"/>
      <c r="H20" s="107"/>
      <c r="I20" s="107"/>
      <c r="J20" s="234"/>
      <c r="K20" s="576"/>
    </row>
    <row r="21" spans="1:11" ht="20.100000000000001" customHeight="1" x14ac:dyDescent="0.2">
      <c r="A21" s="555">
        <v>11</v>
      </c>
      <c r="B21" s="527" t="str">
        <f>IFERROR(VLOOKUP(A21,Tabla_Datos,2,FALSE),0)</f>
        <v>Tanque de Reserva (incluido cierre base tanque)</v>
      </c>
      <c r="C21" s="528" t="str">
        <f t="shared" si="2"/>
        <v>gl</v>
      </c>
      <c r="D21" s="556">
        <v>1</v>
      </c>
      <c r="E21" s="529">
        <f t="shared" si="0"/>
        <v>0</v>
      </c>
      <c r="F21" s="557">
        <f t="shared" si="3"/>
        <v>0</v>
      </c>
      <c r="G21" s="576"/>
      <c r="H21" s="107"/>
      <c r="I21" s="107"/>
      <c r="J21" s="234"/>
      <c r="K21" s="576"/>
    </row>
    <row r="22" spans="1:11" ht="20.100000000000001" customHeight="1" x14ac:dyDescent="0.2">
      <c r="A22" s="555">
        <v>12</v>
      </c>
      <c r="B22" s="527" t="str">
        <f t="shared" si="1"/>
        <v>Capa aisladora horizontal  18cm</v>
      </c>
      <c r="C22" s="528" t="str">
        <f t="shared" si="2"/>
        <v>m2</v>
      </c>
      <c r="D22" s="556">
        <v>7.2</v>
      </c>
      <c r="E22" s="529">
        <f t="shared" si="0"/>
        <v>0</v>
      </c>
      <c r="F22" s="557">
        <f t="shared" si="3"/>
        <v>0</v>
      </c>
      <c r="G22" s="576"/>
      <c r="H22" s="107"/>
      <c r="I22" s="107"/>
      <c r="J22" s="234"/>
      <c r="K22" s="576"/>
    </row>
    <row r="23" spans="1:11" ht="20.100000000000001" customHeight="1" x14ac:dyDescent="0.2">
      <c r="A23" s="555">
        <v>13</v>
      </c>
      <c r="B23" s="527" t="str">
        <f t="shared" si="1"/>
        <v xml:space="preserve">Mampostería Ladrillón Cerámico Macizo (soga) </v>
      </c>
      <c r="C23" s="528" t="str">
        <f t="shared" si="2"/>
        <v>m2</v>
      </c>
      <c r="D23" s="556">
        <v>85.4</v>
      </c>
      <c r="E23" s="529">
        <f t="shared" si="0"/>
        <v>0</v>
      </c>
      <c r="F23" s="557">
        <f t="shared" si="3"/>
        <v>0</v>
      </c>
      <c r="G23" s="576"/>
      <c r="H23" s="107"/>
      <c r="I23" s="107"/>
      <c r="J23" s="234"/>
      <c r="K23" s="576"/>
    </row>
    <row r="24" spans="1:11" ht="20.100000000000001" customHeight="1" x14ac:dyDescent="0.2">
      <c r="A24" s="555">
        <v>14</v>
      </c>
      <c r="B24" s="527" t="str">
        <f t="shared" si="1"/>
        <v>Tabique  Liviano  tipo Durlock ( con placa de yeso de 12,5 mm para sectores húmedos)</v>
      </c>
      <c r="C24" s="528" t="str">
        <f t="shared" si="2"/>
        <v>m2</v>
      </c>
      <c r="D24" s="556">
        <v>4.83</v>
      </c>
      <c r="E24" s="529">
        <f t="shared" si="0"/>
        <v>0</v>
      </c>
      <c r="F24" s="557">
        <f t="shared" si="3"/>
        <v>0</v>
      </c>
      <c r="G24" s="576"/>
      <c r="H24" s="107"/>
      <c r="I24" s="107"/>
      <c r="J24" s="234"/>
      <c r="K24" s="576"/>
    </row>
    <row r="25" spans="1:11" ht="20.100000000000001" customHeight="1" x14ac:dyDescent="0.2">
      <c r="A25" s="555">
        <v>15</v>
      </c>
      <c r="B25" s="527" t="str">
        <f t="shared" si="1"/>
        <v>Techo de Madera (rollizo Ø 16cm, machimbre 3/4", pintura asfáltica, polietileno de 200 micrones, barniz protector insecticida )</v>
      </c>
      <c r="C25" s="528" t="str">
        <f t="shared" si="2"/>
        <v>m2</v>
      </c>
      <c r="D25" s="556">
        <v>23.13</v>
      </c>
      <c r="E25" s="529">
        <f t="shared" si="0"/>
        <v>0</v>
      </c>
      <c r="F25" s="557">
        <f t="shared" si="3"/>
        <v>0</v>
      </c>
      <c r="G25" s="576"/>
      <c r="H25" s="107"/>
      <c r="I25" s="107"/>
      <c r="J25" s="234"/>
      <c r="K25" s="576"/>
    </row>
    <row r="26" spans="1:11" ht="20.100000000000001" customHeight="1" x14ac:dyDescent="0.2">
      <c r="A26" s="555">
        <v>16</v>
      </c>
      <c r="B26" s="527" t="str">
        <f t="shared" si="1"/>
        <v>Cubierta de Techo Aislación Térmica e Hidráulica</v>
      </c>
      <c r="C26" s="528" t="str">
        <f t="shared" si="2"/>
        <v>m2</v>
      </c>
      <c r="D26" s="556">
        <v>61.92</v>
      </c>
      <c r="E26" s="529">
        <f t="shared" si="0"/>
        <v>0</v>
      </c>
      <c r="F26" s="557">
        <f t="shared" si="3"/>
        <v>0</v>
      </c>
      <c r="G26" s="576"/>
      <c r="H26" s="107"/>
      <c r="I26" s="107"/>
      <c r="J26" s="234"/>
      <c r="K26" s="576"/>
    </row>
    <row r="27" spans="1:11" ht="20.100000000000001" customHeight="1" x14ac:dyDescent="0.2">
      <c r="A27" s="555">
        <v>17</v>
      </c>
      <c r="B27" s="527" t="str">
        <f t="shared" si="1"/>
        <v>Contrapiso  Interior</v>
      </c>
      <c r="C27" s="528" t="str">
        <f t="shared" si="2"/>
        <v>m2</v>
      </c>
      <c r="D27" s="556">
        <v>51.38</v>
      </c>
      <c r="E27" s="529">
        <f t="shared" si="0"/>
        <v>0</v>
      </c>
      <c r="F27" s="557">
        <f t="shared" si="3"/>
        <v>0</v>
      </c>
      <c r="G27" s="576"/>
      <c r="H27" s="107"/>
      <c r="I27" s="107"/>
      <c r="J27" s="234"/>
      <c r="K27" s="576"/>
    </row>
    <row r="28" spans="1:11" ht="20.100000000000001" customHeight="1" x14ac:dyDescent="0.2">
      <c r="A28" s="555">
        <v>18</v>
      </c>
      <c r="B28" s="527" t="str">
        <f t="shared" si="1"/>
        <v>Carpeta bajo Cerámico e=4cm</v>
      </c>
      <c r="C28" s="528" t="str">
        <f t="shared" si="2"/>
        <v>m2</v>
      </c>
      <c r="D28" s="556">
        <v>51.38</v>
      </c>
      <c r="E28" s="529">
        <f t="shared" si="0"/>
        <v>0</v>
      </c>
      <c r="F28" s="557">
        <f t="shared" si="3"/>
        <v>0</v>
      </c>
      <c r="G28" s="576"/>
      <c r="H28" s="107"/>
      <c r="I28" s="107"/>
      <c r="J28" s="234"/>
      <c r="K28" s="576"/>
    </row>
    <row r="29" spans="1:11" ht="20.100000000000001" customHeight="1" x14ac:dyDescent="0.2">
      <c r="A29" s="555">
        <v>19</v>
      </c>
      <c r="B29" s="527" t="str">
        <f t="shared" si="1"/>
        <v>Piso baldosa cerámica (incluido umbrales)</v>
      </c>
      <c r="C29" s="528" t="str">
        <f t="shared" si="2"/>
        <v>m2</v>
      </c>
      <c r="D29" s="556">
        <v>51.38</v>
      </c>
      <c r="E29" s="529">
        <f t="shared" si="0"/>
        <v>0</v>
      </c>
      <c r="F29" s="557">
        <f t="shared" si="3"/>
        <v>0</v>
      </c>
      <c r="G29" s="576"/>
      <c r="H29" s="107"/>
      <c r="I29" s="107"/>
      <c r="J29" s="234"/>
      <c r="K29" s="576"/>
    </row>
    <row r="30" spans="1:11" ht="20.100000000000001" customHeight="1" x14ac:dyDescent="0.2">
      <c r="A30" s="555">
        <v>20</v>
      </c>
      <c r="B30" s="527" t="str">
        <f t="shared" si="1"/>
        <v>Contrapisos de Veredín perimetral, vereda de acceso y galería</v>
      </c>
      <c r="C30" s="528" t="str">
        <f t="shared" si="2"/>
        <v>m2</v>
      </c>
      <c r="D30" s="556">
        <v>54.54</v>
      </c>
      <c r="E30" s="529">
        <f t="shared" si="0"/>
        <v>0</v>
      </c>
      <c r="F30" s="557">
        <f t="shared" si="3"/>
        <v>0</v>
      </c>
      <c r="G30" s="576"/>
      <c r="H30" s="107"/>
      <c r="I30" s="107"/>
      <c r="J30" s="234"/>
      <c r="K30" s="576"/>
    </row>
    <row r="31" spans="1:11" ht="20.100000000000001" customHeight="1" x14ac:dyDescent="0.2">
      <c r="A31" s="555">
        <v>21</v>
      </c>
      <c r="B31" s="527" t="str">
        <f t="shared" si="1"/>
        <v>Zócalo cerámico - esp.= 7cm</v>
      </c>
      <c r="C31" s="528" t="str">
        <f t="shared" si="2"/>
        <v>m2</v>
      </c>
      <c r="D31" s="556">
        <v>45.34</v>
      </c>
      <c r="E31" s="529">
        <f t="shared" si="0"/>
        <v>0</v>
      </c>
      <c r="F31" s="557">
        <f t="shared" si="3"/>
        <v>0</v>
      </c>
      <c r="G31" s="576"/>
      <c r="H31" s="107"/>
      <c r="I31" s="107"/>
      <c r="J31" s="234"/>
      <c r="K31" s="576"/>
    </row>
    <row r="32" spans="1:11" ht="20.100000000000001" customHeight="1" x14ac:dyDescent="0.2">
      <c r="A32" s="555">
        <v>22</v>
      </c>
      <c r="B32" s="527" t="str">
        <f t="shared" si="1"/>
        <v>Carpinterías metálica, aluminio y madera</v>
      </c>
      <c r="C32" s="528" t="str">
        <f t="shared" si="2"/>
        <v>gl</v>
      </c>
      <c r="D32" s="556">
        <v>1</v>
      </c>
      <c r="E32" s="529">
        <f t="shared" si="0"/>
        <v>0</v>
      </c>
      <c r="F32" s="557">
        <f t="shared" si="3"/>
        <v>0</v>
      </c>
      <c r="G32" s="576"/>
      <c r="H32" s="107"/>
      <c r="I32" s="107"/>
      <c r="J32" s="234"/>
      <c r="K32" s="576"/>
    </row>
    <row r="33" spans="1:11" ht="20.100000000000001" customHeight="1" x14ac:dyDescent="0.2">
      <c r="A33" s="555">
        <v>23</v>
      </c>
      <c r="B33" s="527" t="str">
        <f t="shared" ref="B33" si="4">IFERROR(VLOOKUP(A33,Tabla_Datos,2,FALSE),0)</f>
        <v>Jaharro b/ revestimiento cerámico</v>
      </c>
      <c r="C33" s="528" t="str">
        <f t="shared" ref="C33" si="5">IFERROR(VLOOKUP(A33,Tabla_Datos,3,FALSE),0)</f>
        <v>m2</v>
      </c>
      <c r="D33" s="556">
        <v>15.3</v>
      </c>
      <c r="E33" s="529">
        <f t="shared" si="0"/>
        <v>0</v>
      </c>
      <c r="F33" s="557">
        <f t="shared" si="3"/>
        <v>0</v>
      </c>
      <c r="G33" s="576"/>
      <c r="H33" s="107"/>
      <c r="I33" s="107"/>
      <c r="J33" s="234"/>
      <c r="K33" s="576"/>
    </row>
    <row r="34" spans="1:11" ht="20.100000000000001" customHeight="1" x14ac:dyDescent="0.2">
      <c r="A34" s="555">
        <v>24</v>
      </c>
      <c r="B34" s="527" t="str">
        <f t="shared" si="1"/>
        <v>Jaharro y Enlucido a la cal (interior)</v>
      </c>
      <c r="C34" s="528" t="str">
        <f t="shared" si="2"/>
        <v>m2</v>
      </c>
      <c r="D34" s="556">
        <v>118.89</v>
      </c>
      <c r="E34" s="529">
        <f t="shared" si="0"/>
        <v>0</v>
      </c>
      <c r="F34" s="557">
        <f t="shared" si="3"/>
        <v>0</v>
      </c>
      <c r="G34" s="576"/>
      <c r="H34" s="107"/>
      <c r="I34" s="107"/>
      <c r="J34" s="234"/>
      <c r="K34" s="576"/>
    </row>
    <row r="35" spans="1:11" ht="20.100000000000001" customHeight="1" x14ac:dyDescent="0.2">
      <c r="A35" s="555">
        <v>25</v>
      </c>
      <c r="B35" s="527" t="str">
        <f t="shared" si="1"/>
        <v>Revestimiento cerámico</v>
      </c>
      <c r="C35" s="528" t="str">
        <f t="shared" si="2"/>
        <v>m2</v>
      </c>
      <c r="D35" s="556">
        <v>15.3</v>
      </c>
      <c r="E35" s="529">
        <f t="shared" si="0"/>
        <v>0</v>
      </c>
      <c r="F35" s="557">
        <f t="shared" si="3"/>
        <v>0</v>
      </c>
      <c r="G35" s="576"/>
      <c r="H35" s="107"/>
      <c r="I35" s="107"/>
      <c r="J35" s="234"/>
      <c r="K35" s="576"/>
    </row>
    <row r="36" spans="1:11" ht="20.100000000000001" customHeight="1" x14ac:dyDescent="0.2">
      <c r="A36" s="555">
        <v>26</v>
      </c>
      <c r="B36" s="527" t="str">
        <f t="shared" si="1"/>
        <v>Salpicado Plástico Incluido Jaharro</v>
      </c>
      <c r="C36" s="528" t="str">
        <f t="shared" si="2"/>
        <v>m2</v>
      </c>
      <c r="D36" s="556">
        <v>118.06</v>
      </c>
      <c r="E36" s="529">
        <f t="shared" si="0"/>
        <v>0</v>
      </c>
      <c r="F36" s="557">
        <f t="shared" si="3"/>
        <v>0</v>
      </c>
      <c r="G36" s="576"/>
      <c r="H36" s="107"/>
      <c r="I36" s="107"/>
      <c r="J36" s="234"/>
      <c r="K36" s="576"/>
    </row>
    <row r="37" spans="1:11" ht="20.100000000000001" customHeight="1" x14ac:dyDescent="0.2">
      <c r="A37" s="555">
        <v>27</v>
      </c>
      <c r="B37" s="527" t="str">
        <f t="shared" si="1"/>
        <v>Cielorraso aplicado a la cal</v>
      </c>
      <c r="C37" s="528" t="str">
        <f t="shared" si="2"/>
        <v>m2</v>
      </c>
      <c r="D37" s="556">
        <v>29.34</v>
      </c>
      <c r="E37" s="529">
        <f t="shared" si="0"/>
        <v>0</v>
      </c>
      <c r="F37" s="557">
        <f t="shared" si="3"/>
        <v>0</v>
      </c>
      <c r="G37" s="576"/>
      <c r="H37" s="107"/>
      <c r="I37" s="107"/>
      <c r="J37" s="234"/>
      <c r="K37" s="576"/>
    </row>
    <row r="38" spans="1:11" ht="20.100000000000001" customHeight="1" x14ac:dyDescent="0.2">
      <c r="A38" s="555">
        <v>28</v>
      </c>
      <c r="B38" s="527" t="str">
        <f t="shared" si="1"/>
        <v>Mesadas, campana y ventilaciones (incluida mesada exterior)</v>
      </c>
      <c r="C38" s="528" t="str">
        <f t="shared" si="2"/>
        <v>gl</v>
      </c>
      <c r="D38" s="556">
        <v>1</v>
      </c>
      <c r="E38" s="529">
        <f t="shared" si="0"/>
        <v>0</v>
      </c>
      <c r="F38" s="557">
        <f t="shared" si="3"/>
        <v>0</v>
      </c>
      <c r="G38" s="576"/>
      <c r="H38" s="107"/>
      <c r="I38" s="107"/>
      <c r="J38" s="234"/>
      <c r="K38" s="576"/>
    </row>
    <row r="39" spans="1:11" ht="20.100000000000001" customHeight="1" x14ac:dyDescent="0.2">
      <c r="A39" s="555">
        <v>29</v>
      </c>
      <c r="B39" s="527" t="str">
        <f t="shared" si="1"/>
        <v>Antepechos de H° Armado con goterón bajo nariz de 2cm</v>
      </c>
      <c r="C39" s="528" t="str">
        <f t="shared" si="2"/>
        <v>ml</v>
      </c>
      <c r="D39" s="556">
        <v>4.5</v>
      </c>
      <c r="E39" s="529">
        <f t="shared" si="0"/>
        <v>0</v>
      </c>
      <c r="F39" s="557">
        <f t="shared" si="3"/>
        <v>0</v>
      </c>
      <c r="G39" s="576"/>
      <c r="H39" s="107"/>
      <c r="I39" s="107"/>
      <c r="J39" s="234"/>
      <c r="K39" s="576"/>
    </row>
    <row r="40" spans="1:11" ht="20.100000000000001" customHeight="1" x14ac:dyDescent="0.2">
      <c r="A40" s="555">
        <v>30</v>
      </c>
      <c r="B40" s="527" t="str">
        <f>IFERROR(VLOOKUP(A40,Tabla_Datos,2,FALSE),0)</f>
        <v>Esmalte sintético sobre carpintería metálica</v>
      </c>
      <c r="C40" s="528" t="str">
        <f>IFERROR(VLOOKUP(A40,Tabla_Datos,3,FALSE),0)</f>
        <v>m2</v>
      </c>
      <c r="D40" s="556">
        <v>16.170000000000002</v>
      </c>
      <c r="E40" s="529">
        <f t="shared" si="0"/>
        <v>0</v>
      </c>
      <c r="F40" s="557">
        <f t="shared" si="3"/>
        <v>0</v>
      </c>
      <c r="G40" s="576"/>
      <c r="H40" s="107"/>
      <c r="I40" s="107"/>
      <c r="J40" s="234"/>
      <c r="K40" s="576"/>
    </row>
    <row r="41" spans="1:11" ht="20.100000000000001" customHeight="1" x14ac:dyDescent="0.2">
      <c r="A41" s="555">
        <v>31</v>
      </c>
      <c r="B41" s="527" t="str">
        <f t="shared" si="1"/>
        <v>Esmalte sintético sobre carpintería madera</v>
      </c>
      <c r="C41" s="528" t="str">
        <f t="shared" si="2"/>
        <v>m2</v>
      </c>
      <c r="D41" s="556">
        <v>13.36</v>
      </c>
      <c r="E41" s="529">
        <f t="shared" si="0"/>
        <v>0</v>
      </c>
      <c r="F41" s="557">
        <f t="shared" si="3"/>
        <v>0</v>
      </c>
      <c r="G41" s="576"/>
      <c r="H41" s="107"/>
      <c r="I41" s="107"/>
      <c r="J41" s="234"/>
      <c r="K41" s="576"/>
    </row>
    <row r="42" spans="1:11" ht="20.100000000000001" customHeight="1" x14ac:dyDescent="0.2">
      <c r="A42" s="555">
        <v>32</v>
      </c>
      <c r="B42" s="527" t="str">
        <f>IFERROR(VLOOKUP(A42,Tabla_Datos,2,FALSE),0)</f>
        <v>Látex muro interior/exterior</v>
      </c>
      <c r="C42" s="528" t="str">
        <f>IFERROR(VLOOKUP(A42,Tabla_Datos,3,FALSE),0)</f>
        <v>m2</v>
      </c>
      <c r="D42" s="556">
        <v>128.55000000000001</v>
      </c>
      <c r="E42" s="529">
        <f t="shared" si="0"/>
        <v>0</v>
      </c>
      <c r="F42" s="557">
        <f t="shared" si="3"/>
        <v>0</v>
      </c>
      <c r="G42" s="576"/>
      <c r="H42" s="107"/>
      <c r="I42" s="107"/>
      <c r="J42" s="234"/>
      <c r="K42" s="576"/>
    </row>
    <row r="43" spans="1:11" ht="20.100000000000001" customHeight="1" x14ac:dyDescent="0.2">
      <c r="A43" s="555">
        <v>33</v>
      </c>
      <c r="B43" s="527" t="str">
        <f t="shared" si="1"/>
        <v>Pintura látex interior en cielorrasos</v>
      </c>
      <c r="C43" s="528" t="str">
        <f t="shared" si="2"/>
        <v>m2</v>
      </c>
      <c r="D43" s="556">
        <v>29.34</v>
      </c>
      <c r="E43" s="529">
        <f t="shared" si="0"/>
        <v>0</v>
      </c>
      <c r="F43" s="557">
        <f t="shared" si="3"/>
        <v>0</v>
      </c>
      <c r="G43" s="576"/>
      <c r="H43" s="107"/>
      <c r="I43" s="107"/>
      <c r="J43" s="234"/>
      <c r="K43" s="576"/>
    </row>
    <row r="44" spans="1:11" ht="20.100000000000001" customHeight="1" x14ac:dyDescent="0.2">
      <c r="A44" s="555">
        <v>34</v>
      </c>
      <c r="B44" s="527" t="str">
        <f t="shared" si="1"/>
        <v>Provisión y colocación de cristal float 3mm</v>
      </c>
      <c r="C44" s="528" t="str">
        <f t="shared" si="2"/>
        <v>m2</v>
      </c>
      <c r="D44" s="556">
        <v>5.69</v>
      </c>
      <c r="E44" s="529">
        <f t="shared" si="0"/>
        <v>0</v>
      </c>
      <c r="F44" s="557">
        <f t="shared" si="3"/>
        <v>0</v>
      </c>
      <c r="G44" s="576"/>
      <c r="H44" s="107"/>
      <c r="I44" s="107"/>
      <c r="J44" s="234"/>
      <c r="K44" s="576"/>
    </row>
    <row r="45" spans="1:11" ht="20.100000000000001" customHeight="1" x14ac:dyDescent="0.2">
      <c r="A45" s="555">
        <v>35</v>
      </c>
      <c r="B45" s="527" t="str">
        <f t="shared" si="1"/>
        <v>Provisión y colocación de cristal float 4mm</v>
      </c>
      <c r="C45" s="528" t="str">
        <f t="shared" si="2"/>
        <v>m2</v>
      </c>
      <c r="D45" s="556">
        <v>3.59</v>
      </c>
      <c r="E45" s="529">
        <f t="shared" si="0"/>
        <v>0</v>
      </c>
      <c r="F45" s="557">
        <f t="shared" si="3"/>
        <v>0</v>
      </c>
      <c r="G45" s="576"/>
      <c r="H45" s="107"/>
      <c r="I45" s="107"/>
      <c r="J45" s="234"/>
      <c r="K45" s="576"/>
    </row>
    <row r="46" spans="1:11" ht="20.100000000000001" customHeight="1" x14ac:dyDescent="0.2">
      <c r="A46" s="555">
        <v>36</v>
      </c>
      <c r="B46" s="527" t="str">
        <f t="shared" si="1"/>
        <v>Pérgolas (Frente y Fondo)  - Incluye Base de Hormigón Simple H 13</v>
      </c>
      <c r="C46" s="528" t="str">
        <f t="shared" si="2"/>
        <v>gl</v>
      </c>
      <c r="D46" s="556">
        <v>1</v>
      </c>
      <c r="E46" s="529">
        <f t="shared" si="0"/>
        <v>0</v>
      </c>
      <c r="F46" s="557">
        <f t="shared" si="3"/>
        <v>0</v>
      </c>
      <c r="G46" s="576"/>
      <c r="H46" s="107"/>
      <c r="I46" s="107"/>
      <c r="J46" s="234"/>
      <c r="K46" s="576"/>
    </row>
    <row r="47" spans="1:11" ht="20.100000000000001" customHeight="1" x14ac:dyDescent="0.2">
      <c r="A47" s="555">
        <v>37</v>
      </c>
      <c r="B47" s="527" t="str">
        <f t="shared" si="1"/>
        <v xml:space="preserve">Instalación sanitaria (incl. cañería base, distrib. AF-AC, artefactos y grifería) </v>
      </c>
      <c r="C47" s="528" t="str">
        <f t="shared" si="2"/>
        <v>gl</v>
      </c>
      <c r="D47" s="556">
        <v>1</v>
      </c>
      <c r="E47" s="529">
        <f t="shared" si="0"/>
        <v>0</v>
      </c>
      <c r="F47" s="557">
        <f t="shared" si="3"/>
        <v>0</v>
      </c>
      <c r="G47" s="576"/>
      <c r="H47" s="107"/>
      <c r="I47" s="107"/>
      <c r="J47" s="234"/>
      <c r="K47" s="576"/>
    </row>
    <row r="48" spans="1:11" ht="20.100000000000001" customHeight="1" x14ac:dyDescent="0.2">
      <c r="A48" s="555">
        <v>38</v>
      </c>
      <c r="B48" s="527" t="str">
        <f t="shared" si="1"/>
        <v>Calefón Solar - Termosifónico - Captador por tubo de vacío</v>
      </c>
      <c r="C48" s="528" t="str">
        <f t="shared" si="2"/>
        <v>u</v>
      </c>
      <c r="D48" s="556">
        <v>1</v>
      </c>
      <c r="E48" s="529">
        <f t="shared" si="0"/>
        <v>0</v>
      </c>
      <c r="F48" s="557">
        <f t="shared" si="3"/>
        <v>0</v>
      </c>
      <c r="G48" s="576"/>
      <c r="H48" s="107"/>
      <c r="I48" s="107"/>
      <c r="J48" s="234"/>
      <c r="K48" s="576"/>
    </row>
    <row r="49" spans="1:11" ht="20.100000000000001" customHeight="1" x14ac:dyDescent="0.2">
      <c r="A49" s="555">
        <v>39</v>
      </c>
      <c r="B49" s="527" t="str">
        <f t="shared" ref="B49:B53" si="6">IFERROR(VLOOKUP(A49,Tabla_Datos,2,FALSE),0)</f>
        <v>Instalación de Gas (Incl. Cocina 4 hornallas c/horno)</v>
      </c>
      <c r="C49" s="528" t="str">
        <f t="shared" ref="C49:C53" si="7">IFERROR(VLOOKUP(A49,Tabla_Datos,3,FALSE),0)</f>
        <v>gl</v>
      </c>
      <c r="D49" s="556">
        <v>1</v>
      </c>
      <c r="E49" s="529">
        <f t="shared" si="0"/>
        <v>0</v>
      </c>
      <c r="F49" s="557">
        <f t="shared" si="3"/>
        <v>0</v>
      </c>
      <c r="G49" s="576"/>
      <c r="H49" s="107"/>
      <c r="I49" s="107"/>
      <c r="J49" s="234"/>
      <c r="K49" s="576"/>
    </row>
    <row r="50" spans="1:11" ht="20.100000000000001" customHeight="1" x14ac:dyDescent="0.2">
      <c r="A50" s="555">
        <v>40</v>
      </c>
      <c r="B50" s="527" t="str">
        <f t="shared" si="6"/>
        <v>Instalación de gas - Gabinete para tubos</v>
      </c>
      <c r="C50" s="528" t="str">
        <f t="shared" si="7"/>
        <v>u</v>
      </c>
      <c r="D50" s="556">
        <v>1</v>
      </c>
      <c r="E50" s="529">
        <f t="shared" si="0"/>
        <v>0</v>
      </c>
      <c r="F50" s="557">
        <f t="shared" si="3"/>
        <v>0</v>
      </c>
      <c r="G50" s="576"/>
      <c r="H50" s="107"/>
      <c r="I50" s="107"/>
      <c r="J50" s="234"/>
      <c r="K50" s="576"/>
    </row>
    <row r="51" spans="1:11" ht="20.100000000000001" customHeight="1" x14ac:dyDescent="0.2">
      <c r="A51" s="555">
        <v>41</v>
      </c>
      <c r="B51" s="527" t="str">
        <f t="shared" si="6"/>
        <v>Instalación eléctrica (incl.pilastra,proc.cañerias p/3AA,y preveer espacios en tablero gral. p/llaves termomagnéticas corresp. Portalámparas 3 cuerpos)</v>
      </c>
      <c r="C51" s="528" t="str">
        <f t="shared" si="7"/>
        <v>gl</v>
      </c>
      <c r="D51" s="556">
        <v>1</v>
      </c>
      <c r="E51" s="529">
        <f t="shared" si="0"/>
        <v>0</v>
      </c>
      <c r="F51" s="557">
        <f t="shared" si="3"/>
        <v>0</v>
      </c>
      <c r="G51" s="576"/>
      <c r="H51" s="107"/>
      <c r="I51" s="107"/>
      <c r="J51" s="234"/>
      <c r="K51" s="576"/>
    </row>
    <row r="52" spans="1:11" ht="20.100000000000001" customHeight="1" x14ac:dyDescent="0.2">
      <c r="A52" s="555">
        <v>42</v>
      </c>
      <c r="B52" s="527" t="str">
        <f t="shared" si="6"/>
        <v>Terminación y limpieza de obra</v>
      </c>
      <c r="C52" s="528" t="str">
        <f t="shared" si="7"/>
        <v>gl</v>
      </c>
      <c r="D52" s="556">
        <v>1</v>
      </c>
      <c r="E52" s="529">
        <f t="shared" si="0"/>
        <v>0</v>
      </c>
      <c r="F52" s="557">
        <f t="shared" si="3"/>
        <v>0</v>
      </c>
      <c r="G52" s="576"/>
      <c r="H52" s="107"/>
      <c r="I52" s="107"/>
      <c r="J52" s="234"/>
      <c r="K52" s="576"/>
    </row>
    <row r="53" spans="1:11" ht="20.100000000000001" customHeight="1" x14ac:dyDescent="0.2">
      <c r="A53" s="555">
        <v>43</v>
      </c>
      <c r="B53" s="527" t="str">
        <f t="shared" si="6"/>
        <v>Flete</v>
      </c>
      <c r="C53" s="528" t="str">
        <f t="shared" si="7"/>
        <v>gl</v>
      </c>
      <c r="D53" s="556">
        <v>1</v>
      </c>
      <c r="E53" s="529">
        <f t="shared" si="0"/>
        <v>0</v>
      </c>
      <c r="F53" s="557">
        <f t="shared" si="3"/>
        <v>0</v>
      </c>
      <c r="G53" s="576"/>
      <c r="H53" s="107"/>
      <c r="I53" s="107"/>
      <c r="J53" s="234"/>
      <c r="K53" s="576"/>
    </row>
    <row r="54" spans="1:11" ht="20.100000000000001" customHeight="1" x14ac:dyDescent="0.2">
      <c r="A54" s="555"/>
      <c r="B54" s="527"/>
      <c r="C54" s="528"/>
      <c r="D54" s="556"/>
      <c r="E54" s="529"/>
      <c r="F54" s="557"/>
      <c r="G54" s="576"/>
      <c r="H54" s="107"/>
      <c r="I54" s="107"/>
      <c r="J54" s="234"/>
      <c r="K54" s="576"/>
    </row>
    <row r="55" spans="1:11" s="107" customFormat="1" ht="20.100000000000001" customHeight="1" x14ac:dyDescent="0.2">
      <c r="A55" s="235"/>
      <c r="B55" s="236"/>
      <c r="C55" s="237"/>
      <c r="D55" s="238"/>
      <c r="E55" s="239"/>
      <c r="F55" s="239"/>
      <c r="G55" s="178"/>
      <c r="J55" s="234"/>
      <c r="K55" s="234"/>
    </row>
    <row r="56" spans="1:11" s="195" customFormat="1" ht="20.100000000000001" customHeight="1" x14ac:dyDescent="0.2">
      <c r="A56" s="530" t="s">
        <v>1106</v>
      </c>
      <c r="B56" s="531" t="s">
        <v>1166</v>
      </c>
      <c r="C56" s="532"/>
      <c r="D56" s="533"/>
      <c r="E56" s="534"/>
      <c r="F56" s="535">
        <f>ROUND(F65/Coef_Paso_Vivienda,2)</f>
        <v>0</v>
      </c>
      <c r="G56" s="201"/>
      <c r="I56" s="194"/>
    </row>
    <row r="57" spans="1:11" s="195" customFormat="1" ht="20.100000000000001" customHeight="1" x14ac:dyDescent="0.2">
      <c r="A57" s="536" t="s">
        <v>1107</v>
      </c>
      <c r="B57" s="537" t="str">
        <f>"COSTO FINANCIERO  "&amp;ROUND(Costo_Financiero*100,2)&amp;" % de ( 1 )"</f>
        <v>COSTO FINANCIERO  0 % de ( 1 )</v>
      </c>
      <c r="C57" s="538">
        <f>Costo_Financiero</f>
        <v>0</v>
      </c>
      <c r="D57" s="539"/>
      <c r="E57" s="540">
        <f>Costo_Financiero</f>
        <v>0</v>
      </c>
      <c r="F57" s="541">
        <f>ROUND(F56*Costo_Financiero,2)</f>
        <v>0</v>
      </c>
      <c r="G57" s="201"/>
      <c r="I57" s="194"/>
    </row>
    <row r="58" spans="1:11" s="195" customFormat="1" ht="20.100000000000001" customHeight="1" x14ac:dyDescent="0.2">
      <c r="A58" s="536" t="s">
        <v>1108</v>
      </c>
      <c r="B58" s="537" t="s">
        <v>1162</v>
      </c>
      <c r="C58" s="538"/>
      <c r="D58" s="539"/>
      <c r="E58" s="542"/>
      <c r="F58" s="541">
        <f>F56+F57</f>
        <v>0</v>
      </c>
      <c r="G58" s="201"/>
      <c r="I58" s="194"/>
    </row>
    <row r="59" spans="1:11" s="195" customFormat="1" ht="20.100000000000001" customHeight="1" x14ac:dyDescent="0.2">
      <c r="A59" s="536" t="s">
        <v>1109</v>
      </c>
      <c r="B59" s="543" t="str">
        <f>CONCATENATE("GASTOS GENERALES  ",ROUND(Gastos_Generales*100,3)," % de ( 3 )")</f>
        <v>GASTOS GENERALES  0 % de ( 3 )</v>
      </c>
      <c r="C59" s="540">
        <f>Gastos_Generales</f>
        <v>0</v>
      </c>
      <c r="D59" s="544"/>
      <c r="E59" s="542"/>
      <c r="F59" s="541">
        <f>ROUND(F58*Gastos_Generales,2)</f>
        <v>0</v>
      </c>
      <c r="G59" s="201"/>
      <c r="I59" s="204"/>
    </row>
    <row r="60" spans="1:11" s="195" customFormat="1" ht="20.100000000000001" customHeight="1" x14ac:dyDescent="0.2">
      <c r="A60" s="536" t="s">
        <v>1110</v>
      </c>
      <c r="B60" s="543" t="str">
        <f>CONCATENATE("BENEFICIOS  ",ROUND(Beneficio*100,2)," % de ( 3 )")</f>
        <v>BENEFICIOS  0 % de ( 3 )</v>
      </c>
      <c r="C60" s="540">
        <f>Beneficio</f>
        <v>0</v>
      </c>
      <c r="D60" s="544"/>
      <c r="E60" s="542"/>
      <c r="F60" s="541">
        <f>ROUND(F58*Beneficio,2)</f>
        <v>0</v>
      </c>
      <c r="G60" s="201"/>
      <c r="I60" s="204"/>
    </row>
    <row r="61" spans="1:11" s="195" customFormat="1" ht="20.100000000000001" customHeight="1" x14ac:dyDescent="0.2">
      <c r="A61" s="536">
        <v>6</v>
      </c>
      <c r="B61" s="537" t="s">
        <v>1163</v>
      </c>
      <c r="C61" s="542"/>
      <c r="D61" s="544"/>
      <c r="E61" s="542"/>
      <c r="F61" s="541">
        <f>F58+F59+F60</f>
        <v>0</v>
      </c>
      <c r="G61" s="201"/>
      <c r="I61" s="204"/>
    </row>
    <row r="62" spans="1:11" s="195" customFormat="1" ht="20.100000000000001" customHeight="1" x14ac:dyDescent="0.2">
      <c r="A62" s="536" t="s">
        <v>1164</v>
      </c>
      <c r="B62" s="543" t="str">
        <f>CONCATENATE("INGRESOS BRUTOS Y LOTE HOGAR  ",ROUND(Ingresos_Brutos*100,2)," % de ( 6 )")</f>
        <v>INGRESOS BRUTOS Y LOTE HOGAR  2,4 % de ( 6 )</v>
      </c>
      <c r="C62" s="540">
        <f>Ingresos_Brutos</f>
        <v>2.4E-2</v>
      </c>
      <c r="D62" s="544"/>
      <c r="E62" s="542"/>
      <c r="F62" s="541">
        <f>IF(Ingresos_Brutos=0,,ROUND(Ingresos_Brutos*F61,2))</f>
        <v>0</v>
      </c>
      <c r="G62" s="201"/>
      <c r="I62" s="204"/>
    </row>
    <row r="63" spans="1:11" s="195" customFormat="1" ht="20.100000000000001" customHeight="1" x14ac:dyDescent="0.2">
      <c r="A63" s="545" t="s">
        <v>1165</v>
      </c>
      <c r="B63" s="546" t="str">
        <f>CONCATENATE("IMPUESTO AL VALOR AGREGADO ",IVA_Vivienda*100," % de ( 6 )")</f>
        <v>IMPUESTO AL VALOR AGREGADO 10,5 % de ( 6 )</v>
      </c>
      <c r="C63" s="547">
        <f>IVA_Vivienda</f>
        <v>0.105</v>
      </c>
      <c r="D63" s="548"/>
      <c r="E63" s="549"/>
      <c r="F63" s="550">
        <f>IF(IVA_Vivienda=0,,ROUND(IVA_Vivienda*F61,2))</f>
        <v>0</v>
      </c>
      <c r="G63" s="201"/>
      <c r="I63" s="204"/>
    </row>
    <row r="64" spans="1:11" s="2" customFormat="1" ht="20.100000000000001" customHeight="1" x14ac:dyDescent="0.2">
      <c r="A64" s="100"/>
      <c r="B64" s="95"/>
      <c r="C64" s="95"/>
      <c r="D64" s="96"/>
      <c r="E64" s="97"/>
      <c r="G64" s="101"/>
      <c r="I64" s="96"/>
    </row>
    <row r="65" spans="1:12" s="2" customFormat="1" ht="20.100000000000001" customHeight="1" x14ac:dyDescent="0.2">
      <c r="A65" s="551"/>
      <c r="B65" s="552" t="str">
        <f>"PRECIO TOTAL VIVENDA"</f>
        <v>PRECIO TOTAL VIVENDA</v>
      </c>
      <c r="C65" s="552"/>
      <c r="D65" s="553"/>
      <c r="E65" s="551"/>
      <c r="F65" s="554">
        <f>SUM(F11:F54)</f>
        <v>0</v>
      </c>
      <c r="G65" s="101"/>
      <c r="I65" s="120"/>
      <c r="L65" s="233"/>
    </row>
    <row r="66" spans="1:12" ht="20.100000000000001" customHeight="1" x14ac:dyDescent="0.2">
      <c r="E66" s="166"/>
      <c r="F66" s="166"/>
      <c r="J66" s="166"/>
    </row>
    <row r="67" spans="1:12" ht="20.100000000000001" customHeight="1" x14ac:dyDescent="0.2">
      <c r="F67" s="166"/>
    </row>
    <row r="68" spans="1:12" ht="20.100000000000001" customHeight="1" x14ac:dyDescent="0.2">
      <c r="J68" s="574"/>
    </row>
    <row r="69" spans="1:12" ht="20.100000000000001" customHeight="1" x14ac:dyDescent="0.2">
      <c r="K69" s="166"/>
    </row>
  </sheetData>
  <sheetProtection formatCells="0" selectLockedCells="1"/>
  <mergeCells count="7">
    <mergeCell ref="A1:F1"/>
    <mergeCell ref="A7:A8"/>
    <mergeCell ref="B7:B8"/>
    <mergeCell ref="C7:C8"/>
    <mergeCell ref="D7:D8"/>
    <mergeCell ref="E7:E8"/>
    <mergeCell ref="F7:F8"/>
  </mergeCells>
  <conditionalFormatting sqref="A42:B42 A40:B40 A33:B33 B10:B55 A11:A55">
    <cfRule type="expression" dxfId="165" priority="31" stopIfTrue="1">
      <formula>$C10=0</formula>
    </cfRule>
  </conditionalFormatting>
  <conditionalFormatting sqref="A10">
    <cfRule type="expression" dxfId="164" priority="30" stopIfTrue="1">
      <formula>$C10=0</formula>
    </cfRule>
  </conditionalFormatting>
  <conditionalFormatting sqref="F56">
    <cfRule type="expression" dxfId="163" priority="1" stopIfTrue="1">
      <formula>#REF!=1</formula>
    </cfRule>
  </conditionalFormatting>
  <pageMargins left="0.39370078740157483" right="0.39370078740157483" top="0.39370078740157483" bottom="0.19685039370078741" header="0.39370078740157483" footer="0.39370078740157483"/>
  <pageSetup paperSize="9" scale="58" fitToHeight="0" orientation="portrait" r:id="rId1"/>
  <headerFooter>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3"/>
  <dimension ref="A1:I67"/>
  <sheetViews>
    <sheetView topLeftCell="A31" workbookViewId="0">
      <selection activeCell="G16" sqref="G16"/>
    </sheetView>
  </sheetViews>
  <sheetFormatPr baseColWidth="10" defaultColWidth="11.42578125" defaultRowHeight="20.100000000000001" customHeight="1" x14ac:dyDescent="0.2"/>
  <cols>
    <col min="1" max="1" width="12.7109375" style="87" customWidth="1"/>
    <col min="2" max="2" width="81.5703125" style="87" customWidth="1"/>
    <col min="3" max="3" width="10.7109375" style="87" customWidth="1"/>
    <col min="4" max="4" width="14.7109375" style="87" customWidth="1"/>
    <col min="5" max="6" width="16.7109375" style="87" customWidth="1"/>
    <col min="7" max="8" width="11.42578125" style="87"/>
    <col min="9" max="9" width="13.85546875" style="87" bestFit="1" customWidth="1"/>
    <col min="10" max="10" width="68.85546875" style="87" customWidth="1"/>
    <col min="11" max="16384" width="11.42578125" style="87"/>
  </cols>
  <sheetData>
    <row r="1" spans="1:9" ht="20.100000000000001" customHeight="1" x14ac:dyDescent="0.2">
      <c r="A1" s="611" t="s">
        <v>1236</v>
      </c>
      <c r="B1" s="611"/>
      <c r="C1" s="611"/>
      <c r="D1" s="611"/>
      <c r="E1" s="611"/>
      <c r="F1" s="611"/>
    </row>
    <row r="2" spans="1:9" s="109" customFormat="1" ht="20.100000000000001" customHeight="1" x14ac:dyDescent="0.2">
      <c r="A2" s="109" t="s">
        <v>1235</v>
      </c>
      <c r="B2" s="108" t="str">
        <f>Obra</f>
        <v>BARRIO JOSÉ AMÉRICO GRIMALT - SECTOR B</v>
      </c>
      <c r="C2" s="185"/>
      <c r="D2" s="110"/>
      <c r="E2" s="110"/>
      <c r="F2" s="110"/>
    </row>
    <row r="3" spans="1:9" s="109" customFormat="1" ht="20.100000000000001" customHeight="1" x14ac:dyDescent="0.2">
      <c r="A3" s="109" t="str">
        <f>"UBICACION:      "&amp;Ubicación</f>
        <v>UBICACION:      DEPTO. ULLÚM</v>
      </c>
      <c r="B3" s="108" t="str">
        <f>Ubicación</f>
        <v>DEPTO. ULLÚM</v>
      </c>
      <c r="C3" s="110"/>
      <c r="D3" s="110"/>
      <c r="E3" s="110"/>
      <c r="F3" s="110"/>
    </row>
    <row r="4" spans="1:9" s="109" customFormat="1" ht="20.100000000000001" customHeight="1" x14ac:dyDescent="0.2">
      <c r="A4" s="109" t="s">
        <v>1128</v>
      </c>
      <c r="B4" s="116" t="s">
        <v>1356</v>
      </c>
      <c r="D4" s="110"/>
      <c r="E4" s="110"/>
      <c r="F4" s="110"/>
    </row>
    <row r="5" spans="1:9" s="109" customFormat="1" ht="20.100000000000001" customHeight="1" x14ac:dyDescent="0.2">
      <c r="A5" s="109" t="s">
        <v>1159</v>
      </c>
      <c r="B5" s="267">
        <v>2</v>
      </c>
      <c r="D5" s="110"/>
      <c r="E5" s="110"/>
      <c r="F5" s="110"/>
    </row>
    <row r="6" spans="1:9" ht="20.100000000000001" customHeight="1" x14ac:dyDescent="0.2">
      <c r="A6" s="165"/>
      <c r="B6" s="231"/>
      <c r="C6" s="165"/>
      <c r="D6" s="165"/>
      <c r="E6" s="107"/>
    </row>
    <row r="7" spans="1:9" ht="20.100000000000001" customHeight="1" x14ac:dyDescent="0.2">
      <c r="A7" s="612" t="s">
        <v>1105</v>
      </c>
      <c r="B7" s="614" t="s">
        <v>0</v>
      </c>
      <c r="C7" s="612" t="s">
        <v>1</v>
      </c>
      <c r="D7" s="612" t="s">
        <v>2</v>
      </c>
      <c r="E7" s="612" t="s">
        <v>1151</v>
      </c>
      <c r="F7" s="612" t="s">
        <v>1161</v>
      </c>
    </row>
    <row r="8" spans="1:9" ht="20.100000000000001" customHeight="1" x14ac:dyDescent="0.2">
      <c r="A8" s="613"/>
      <c r="B8" s="615"/>
      <c r="C8" s="613"/>
      <c r="D8" s="613"/>
      <c r="E8" s="613"/>
      <c r="F8" s="613"/>
    </row>
    <row r="9" spans="1:9" s="107" customFormat="1" ht="20.100000000000001" customHeight="1" x14ac:dyDescent="0.2">
      <c r="A9" s="240"/>
      <c r="B9" s="230"/>
      <c r="C9" s="174"/>
      <c r="D9" s="174"/>
      <c r="E9" s="174"/>
      <c r="F9" s="241"/>
    </row>
    <row r="10" spans="1:9" ht="20.100000000000001" customHeight="1" x14ac:dyDescent="0.2">
      <c r="A10" s="274" t="s">
        <v>1125</v>
      </c>
      <c r="B10" s="275" t="str">
        <f t="shared" ref="B10:B39" si="0">IFERROR(VLOOKUP(A10,Tabla_Datos,2,FALSE),0)</f>
        <v>VIVIENDA</v>
      </c>
      <c r="C10" s="276"/>
      <c r="D10" s="277"/>
      <c r="E10" s="309"/>
      <c r="F10" s="583"/>
      <c r="G10" s="107"/>
      <c r="H10" s="107"/>
      <c r="I10" s="107"/>
    </row>
    <row r="11" spans="1:9" ht="20.100000000000001" customHeight="1" x14ac:dyDescent="0.2">
      <c r="A11" s="555">
        <v>1</v>
      </c>
      <c r="B11" s="527" t="str">
        <f t="shared" si="0"/>
        <v>Limpieza de terreno y replanteo</v>
      </c>
      <c r="C11" s="528" t="str">
        <f t="shared" ref="C11:C39" si="1">IFERROR(VLOOKUP(A11,Tabla_Datos,3,FALSE),0)</f>
        <v>gl</v>
      </c>
      <c r="D11" s="556">
        <v>1</v>
      </c>
      <c r="E11" s="557">
        <f>IFERROR(VLOOKUP(A11,Tabla_Comp_Presup,7,FALSE),0)</f>
        <v>0</v>
      </c>
      <c r="F11" s="557">
        <f>ROUND(D11*E11,15)</f>
        <v>0</v>
      </c>
      <c r="G11" s="576"/>
      <c r="H11" s="107"/>
      <c r="I11" s="576"/>
    </row>
    <row r="12" spans="1:9" ht="20.100000000000001" customHeight="1" x14ac:dyDescent="0.2">
      <c r="A12" s="555">
        <v>2</v>
      </c>
      <c r="B12" s="558" t="str">
        <f t="shared" si="0"/>
        <v>Excavación de Cimientos</v>
      </c>
      <c r="C12" s="559" t="str">
        <f t="shared" si="1"/>
        <v>m3</v>
      </c>
      <c r="D12" s="565">
        <v>13.9</v>
      </c>
      <c r="E12" s="557">
        <f>IFERROR(VLOOKUP(A12,Tabla_Comp_Presup,7,FALSE),0)</f>
        <v>0</v>
      </c>
      <c r="F12" s="557">
        <f t="shared" ref="F12:F53" si="2">ROUND(D12*E12,15)</f>
        <v>0</v>
      </c>
      <c r="G12" s="576"/>
      <c r="H12" s="107"/>
      <c r="I12" s="576"/>
    </row>
    <row r="13" spans="1:9" ht="20.100000000000001" customHeight="1" x14ac:dyDescent="0.2">
      <c r="A13" s="555">
        <v>3</v>
      </c>
      <c r="B13" s="558" t="str">
        <f t="shared" si="0"/>
        <v xml:space="preserve">Relleno Bajo Contrapiso </v>
      </c>
      <c r="C13" s="559" t="str">
        <f t="shared" si="1"/>
        <v>m3</v>
      </c>
      <c r="D13" s="565">
        <v>8.44</v>
      </c>
      <c r="E13" s="557">
        <f t="shared" ref="E13:E39" si="3">IFERROR(VLOOKUP(A13,Tabla_Comp_Presup,7,FALSE),0)</f>
        <v>0</v>
      </c>
      <c r="F13" s="557">
        <f t="shared" si="2"/>
        <v>0</v>
      </c>
      <c r="G13" s="576"/>
      <c r="H13" s="107"/>
      <c r="I13" s="576"/>
    </row>
    <row r="14" spans="1:9" ht="20.100000000000001" customHeight="1" x14ac:dyDescent="0.2">
      <c r="A14" s="555">
        <v>4</v>
      </c>
      <c r="B14" s="558" t="str">
        <f t="shared" si="0"/>
        <v>Hormigón de limpieza</v>
      </c>
      <c r="C14" s="559" t="str">
        <f t="shared" si="1"/>
        <v>m2</v>
      </c>
      <c r="D14" s="565">
        <v>1.8</v>
      </c>
      <c r="E14" s="557">
        <f t="shared" si="3"/>
        <v>0</v>
      </c>
      <c r="F14" s="557">
        <f t="shared" si="2"/>
        <v>0</v>
      </c>
      <c r="G14" s="576"/>
      <c r="H14" s="107"/>
      <c r="I14" s="576"/>
    </row>
    <row r="15" spans="1:9" ht="20.100000000000001" customHeight="1" x14ac:dyDescent="0.2">
      <c r="A15" s="555">
        <v>5</v>
      </c>
      <c r="B15" s="558" t="str">
        <f t="shared" si="0"/>
        <v>Cimiento Ciclópeo H 13</v>
      </c>
      <c r="C15" s="559" t="str">
        <f t="shared" si="1"/>
        <v>m3</v>
      </c>
      <c r="D15" s="565">
        <v>12.63</v>
      </c>
      <c r="E15" s="557">
        <f t="shared" si="3"/>
        <v>0</v>
      </c>
      <c r="F15" s="557">
        <f t="shared" si="2"/>
        <v>0</v>
      </c>
      <c r="G15" s="576"/>
      <c r="H15" s="107"/>
      <c r="I15" s="576"/>
    </row>
    <row r="16" spans="1:9" ht="20.100000000000001" customHeight="1" x14ac:dyDescent="0.2">
      <c r="A16" s="555">
        <v>6</v>
      </c>
      <c r="B16" s="558" t="str">
        <f t="shared" si="0"/>
        <v>Dado Fundación  h=15cm</v>
      </c>
      <c r="C16" s="559" t="str">
        <f t="shared" si="1"/>
        <v>m3</v>
      </c>
      <c r="D16" s="566">
        <v>1.02</v>
      </c>
      <c r="E16" s="557">
        <f t="shared" si="3"/>
        <v>0</v>
      </c>
      <c r="F16" s="557">
        <f t="shared" si="2"/>
        <v>0</v>
      </c>
      <c r="G16" s="584"/>
      <c r="H16" s="107"/>
      <c r="I16" s="584"/>
    </row>
    <row r="17" spans="1:9" ht="20.100000000000001" customHeight="1" x14ac:dyDescent="0.2">
      <c r="A17" s="555">
        <v>7</v>
      </c>
      <c r="B17" s="558" t="str">
        <f t="shared" si="0"/>
        <v>Vigas de Encadenado Inferior - Fundación  H 17</v>
      </c>
      <c r="C17" s="559" t="str">
        <f t="shared" si="1"/>
        <v>m3</v>
      </c>
      <c r="D17" s="566">
        <v>1.94</v>
      </c>
      <c r="E17" s="557">
        <f t="shared" si="3"/>
        <v>0</v>
      </c>
      <c r="F17" s="557">
        <f t="shared" si="2"/>
        <v>0</v>
      </c>
      <c r="G17" s="584"/>
      <c r="H17" s="107"/>
      <c r="I17" s="584"/>
    </row>
    <row r="18" spans="1:9" ht="20.100000000000001" customHeight="1" x14ac:dyDescent="0.2">
      <c r="A18" s="555">
        <v>8</v>
      </c>
      <c r="B18" s="558" t="str">
        <f t="shared" si="0"/>
        <v>Columna de Encadenado (incluye tronco de columna)</v>
      </c>
      <c r="C18" s="559" t="str">
        <f t="shared" si="1"/>
        <v>m3</v>
      </c>
      <c r="D18" s="566">
        <v>3.18</v>
      </c>
      <c r="E18" s="557">
        <f t="shared" si="3"/>
        <v>0</v>
      </c>
      <c r="F18" s="557">
        <f t="shared" si="2"/>
        <v>0</v>
      </c>
      <c r="G18" s="584"/>
      <c r="H18" s="107"/>
      <c r="I18" s="584"/>
    </row>
    <row r="19" spans="1:9" ht="20.100000000000001" customHeight="1" x14ac:dyDescent="0.2">
      <c r="A19" s="555">
        <v>9</v>
      </c>
      <c r="B19" s="558" t="str">
        <f t="shared" si="0"/>
        <v>Vigas de Encadenado Superior, Dintel y de Carga</v>
      </c>
      <c r="C19" s="559" t="str">
        <f t="shared" si="1"/>
        <v>m3</v>
      </c>
      <c r="D19" s="566">
        <v>2.25</v>
      </c>
      <c r="E19" s="557">
        <f t="shared" si="3"/>
        <v>0</v>
      </c>
      <c r="F19" s="557">
        <f t="shared" si="2"/>
        <v>0</v>
      </c>
      <c r="G19" s="584"/>
      <c r="H19" s="107"/>
      <c r="I19" s="584"/>
    </row>
    <row r="20" spans="1:9" ht="20.100000000000001" customHeight="1" x14ac:dyDescent="0.2">
      <c r="A20" s="555">
        <v>10</v>
      </c>
      <c r="B20" s="558" t="str">
        <f t="shared" si="0"/>
        <v>Losa de Hormigón Armado</v>
      </c>
      <c r="C20" s="559" t="str">
        <f t="shared" si="1"/>
        <v>m3</v>
      </c>
      <c r="D20" s="566">
        <v>2.77</v>
      </c>
      <c r="E20" s="557">
        <f t="shared" si="3"/>
        <v>0</v>
      </c>
      <c r="F20" s="557">
        <f t="shared" si="2"/>
        <v>0</v>
      </c>
      <c r="G20" s="584"/>
      <c r="H20" s="107"/>
      <c r="I20" s="584"/>
    </row>
    <row r="21" spans="1:9" ht="20.100000000000001" customHeight="1" x14ac:dyDescent="0.2">
      <c r="A21" s="555">
        <v>11</v>
      </c>
      <c r="B21" s="558" t="str">
        <f t="shared" si="0"/>
        <v>Tanque de Reserva (incluido cierre base tanque)</v>
      </c>
      <c r="C21" s="559" t="str">
        <f t="shared" si="1"/>
        <v>gl</v>
      </c>
      <c r="D21" s="566">
        <v>1</v>
      </c>
      <c r="E21" s="557">
        <f t="shared" si="3"/>
        <v>0</v>
      </c>
      <c r="F21" s="557">
        <f t="shared" si="2"/>
        <v>0</v>
      </c>
      <c r="G21" s="584"/>
      <c r="H21" s="107"/>
      <c r="I21" s="584"/>
    </row>
    <row r="22" spans="1:9" ht="20.100000000000001" customHeight="1" x14ac:dyDescent="0.2">
      <c r="A22" s="555">
        <v>12</v>
      </c>
      <c r="B22" s="558" t="str">
        <f t="shared" si="0"/>
        <v>Capa aisladora horizontal  18cm</v>
      </c>
      <c r="C22" s="559" t="str">
        <f t="shared" si="1"/>
        <v>m2</v>
      </c>
      <c r="D22" s="565">
        <v>7.2</v>
      </c>
      <c r="E22" s="557">
        <f t="shared" si="3"/>
        <v>0</v>
      </c>
      <c r="F22" s="557">
        <f t="shared" si="2"/>
        <v>0</v>
      </c>
      <c r="G22" s="576"/>
      <c r="H22" s="107"/>
      <c r="I22" s="576"/>
    </row>
    <row r="23" spans="1:9" ht="20.100000000000001" customHeight="1" x14ac:dyDescent="0.2">
      <c r="A23" s="555">
        <v>13</v>
      </c>
      <c r="B23" s="558" t="str">
        <f t="shared" si="0"/>
        <v xml:space="preserve">Mampostería Ladrillón Cerámico Macizo (soga) </v>
      </c>
      <c r="C23" s="559" t="str">
        <f t="shared" si="1"/>
        <v>m2</v>
      </c>
      <c r="D23" s="566">
        <v>85.4</v>
      </c>
      <c r="E23" s="557">
        <f t="shared" si="3"/>
        <v>0</v>
      </c>
      <c r="F23" s="557">
        <f t="shared" si="2"/>
        <v>0</v>
      </c>
      <c r="G23" s="584"/>
      <c r="H23" s="107"/>
      <c r="I23" s="584"/>
    </row>
    <row r="24" spans="1:9" ht="20.100000000000001" customHeight="1" x14ac:dyDescent="0.2">
      <c r="A24" s="555">
        <v>14</v>
      </c>
      <c r="B24" s="558" t="str">
        <f t="shared" si="0"/>
        <v>Tabique  Liviano  tipo Durlock ( con placa de yeso de 12,5 mm para sectores húmedos)</v>
      </c>
      <c r="C24" s="559" t="str">
        <f t="shared" si="1"/>
        <v>m2</v>
      </c>
      <c r="D24" s="566">
        <v>4.83</v>
      </c>
      <c r="E24" s="557">
        <f t="shared" si="3"/>
        <v>0</v>
      </c>
      <c r="F24" s="557">
        <f t="shared" si="2"/>
        <v>0</v>
      </c>
      <c r="G24" s="584"/>
      <c r="H24" s="107"/>
      <c r="I24" s="584"/>
    </row>
    <row r="25" spans="1:9" ht="20.100000000000001" customHeight="1" x14ac:dyDescent="0.2">
      <c r="A25" s="555">
        <v>15</v>
      </c>
      <c r="B25" s="558" t="str">
        <f>IFERROR(VLOOKUP(A25,Tabla_Datos,2,FALSE),0)</f>
        <v>Techo de Madera (rollizo Ø 16cm, machimbre 3/4", pintura asfáltica, polietileno de 200 micrones, barniz protector insecticida )</v>
      </c>
      <c r="C25" s="559" t="str">
        <f t="shared" si="1"/>
        <v>m2</v>
      </c>
      <c r="D25" s="565">
        <v>23.13</v>
      </c>
      <c r="E25" s="557">
        <f t="shared" si="3"/>
        <v>0</v>
      </c>
      <c r="F25" s="557">
        <f t="shared" si="2"/>
        <v>0</v>
      </c>
      <c r="G25" s="576"/>
      <c r="H25" s="107"/>
      <c r="I25" s="576"/>
    </row>
    <row r="26" spans="1:9" ht="20.100000000000001" customHeight="1" x14ac:dyDescent="0.2">
      <c r="A26" s="555">
        <v>16</v>
      </c>
      <c r="B26" s="558" t="str">
        <f t="shared" si="0"/>
        <v>Cubierta de Techo Aislación Térmica e Hidráulica</v>
      </c>
      <c r="C26" s="559" t="str">
        <f t="shared" si="1"/>
        <v>m2</v>
      </c>
      <c r="D26" s="565">
        <v>61.92</v>
      </c>
      <c r="E26" s="557">
        <f t="shared" si="3"/>
        <v>0</v>
      </c>
      <c r="F26" s="557">
        <f t="shared" si="2"/>
        <v>0</v>
      </c>
      <c r="G26" s="576"/>
      <c r="H26" s="107"/>
      <c r="I26" s="576"/>
    </row>
    <row r="27" spans="1:9" ht="20.100000000000001" customHeight="1" x14ac:dyDescent="0.2">
      <c r="A27" s="555">
        <v>17</v>
      </c>
      <c r="B27" s="558" t="str">
        <f t="shared" si="0"/>
        <v>Contrapiso  Interior</v>
      </c>
      <c r="C27" s="559" t="str">
        <f t="shared" si="1"/>
        <v>m2</v>
      </c>
      <c r="D27" s="565">
        <v>51.38</v>
      </c>
      <c r="E27" s="557">
        <f t="shared" si="3"/>
        <v>0</v>
      </c>
      <c r="F27" s="557">
        <f t="shared" si="2"/>
        <v>0</v>
      </c>
      <c r="G27" s="576"/>
      <c r="H27" s="107"/>
      <c r="I27" s="576"/>
    </row>
    <row r="28" spans="1:9" ht="20.100000000000001" customHeight="1" x14ac:dyDescent="0.2">
      <c r="A28" s="555">
        <v>18</v>
      </c>
      <c r="B28" s="558" t="str">
        <f t="shared" si="0"/>
        <v>Carpeta bajo Cerámico e=4cm</v>
      </c>
      <c r="C28" s="559" t="str">
        <f t="shared" si="1"/>
        <v>m2</v>
      </c>
      <c r="D28" s="565">
        <v>51.38</v>
      </c>
      <c r="E28" s="557">
        <f t="shared" si="3"/>
        <v>0</v>
      </c>
      <c r="F28" s="557">
        <f t="shared" si="2"/>
        <v>0</v>
      </c>
      <c r="G28" s="576"/>
      <c r="H28" s="107"/>
      <c r="I28" s="576"/>
    </row>
    <row r="29" spans="1:9" ht="20.100000000000001" customHeight="1" x14ac:dyDescent="0.2">
      <c r="A29" s="555">
        <v>19</v>
      </c>
      <c r="B29" s="558" t="str">
        <f t="shared" si="0"/>
        <v>Piso baldosa cerámica (incluido umbrales)</v>
      </c>
      <c r="C29" s="559" t="str">
        <f t="shared" si="1"/>
        <v>m2</v>
      </c>
      <c r="D29" s="567">
        <v>51.38</v>
      </c>
      <c r="E29" s="557">
        <f t="shared" si="3"/>
        <v>0</v>
      </c>
      <c r="F29" s="557">
        <f t="shared" si="2"/>
        <v>0</v>
      </c>
      <c r="G29" s="585"/>
      <c r="H29" s="107"/>
      <c r="I29" s="585"/>
    </row>
    <row r="30" spans="1:9" ht="20.100000000000001" customHeight="1" x14ac:dyDescent="0.2">
      <c r="A30" s="555">
        <v>20</v>
      </c>
      <c r="B30" s="558" t="str">
        <f t="shared" si="0"/>
        <v>Contrapisos de Veredín perimetral, vereda de acceso y galería</v>
      </c>
      <c r="C30" s="559" t="str">
        <f t="shared" si="1"/>
        <v>m2</v>
      </c>
      <c r="D30" s="565">
        <v>68.900000000000006</v>
      </c>
      <c r="E30" s="557">
        <f t="shared" si="3"/>
        <v>0</v>
      </c>
      <c r="F30" s="557">
        <f t="shared" si="2"/>
        <v>0</v>
      </c>
      <c r="G30" s="576"/>
      <c r="H30" s="107"/>
      <c r="I30" s="576"/>
    </row>
    <row r="31" spans="1:9" ht="21" customHeight="1" x14ac:dyDescent="0.2">
      <c r="A31" s="555">
        <v>21</v>
      </c>
      <c r="B31" s="558" t="str">
        <f t="shared" si="0"/>
        <v>Zócalo cerámico - esp.= 7cm</v>
      </c>
      <c r="C31" s="559" t="str">
        <f t="shared" si="1"/>
        <v>m2</v>
      </c>
      <c r="D31" s="568">
        <v>45.34</v>
      </c>
      <c r="E31" s="557">
        <f t="shared" si="3"/>
        <v>0</v>
      </c>
      <c r="F31" s="557">
        <f t="shared" si="2"/>
        <v>0</v>
      </c>
      <c r="G31" s="586"/>
      <c r="H31" s="107"/>
      <c r="I31" s="586"/>
    </row>
    <row r="32" spans="1:9" ht="21" customHeight="1" x14ac:dyDescent="0.2">
      <c r="A32" s="555">
        <v>22</v>
      </c>
      <c r="B32" s="558" t="str">
        <f t="shared" ref="B32" si="4">IFERROR(VLOOKUP(A32,Tabla_Datos,2,FALSE),0)</f>
        <v>Carpinterías metálica, aluminio y madera</v>
      </c>
      <c r="C32" s="559" t="str">
        <f t="shared" ref="C32" si="5">IFERROR(VLOOKUP(A32,Tabla_Datos,3,FALSE),0)</f>
        <v>gl</v>
      </c>
      <c r="D32" s="568">
        <v>1</v>
      </c>
      <c r="E32" s="557">
        <f t="shared" ref="E32" si="6">IFERROR(VLOOKUP(A32,Tabla_Comp_Presup,7,FALSE),0)</f>
        <v>0</v>
      </c>
      <c r="F32" s="557">
        <f t="shared" si="2"/>
        <v>0</v>
      </c>
      <c r="G32" s="586"/>
      <c r="H32" s="107"/>
      <c r="I32" s="586"/>
    </row>
    <row r="33" spans="1:9" ht="20.100000000000001" customHeight="1" x14ac:dyDescent="0.2">
      <c r="A33" s="555">
        <v>23</v>
      </c>
      <c r="B33" s="558" t="str">
        <f t="shared" si="0"/>
        <v>Jaharro b/ revestimiento cerámico</v>
      </c>
      <c r="C33" s="559" t="str">
        <f t="shared" si="1"/>
        <v>m2</v>
      </c>
      <c r="D33" s="567">
        <v>15.3</v>
      </c>
      <c r="E33" s="557">
        <f t="shared" si="3"/>
        <v>0</v>
      </c>
      <c r="F33" s="557">
        <f t="shared" si="2"/>
        <v>0</v>
      </c>
      <c r="G33" s="585"/>
      <c r="H33" s="107"/>
      <c r="I33" s="585"/>
    </row>
    <row r="34" spans="1:9" ht="20.100000000000001" customHeight="1" x14ac:dyDescent="0.2">
      <c r="A34" s="555">
        <v>24</v>
      </c>
      <c r="B34" s="558" t="str">
        <f t="shared" si="0"/>
        <v>Jaharro y Enlucido a la cal (interior)</v>
      </c>
      <c r="C34" s="559" t="str">
        <f t="shared" si="1"/>
        <v>m2</v>
      </c>
      <c r="D34" s="567">
        <v>118.89</v>
      </c>
      <c r="E34" s="557">
        <f t="shared" si="3"/>
        <v>0</v>
      </c>
      <c r="F34" s="557">
        <f t="shared" si="2"/>
        <v>0</v>
      </c>
      <c r="G34" s="585"/>
      <c r="H34" s="107"/>
      <c r="I34" s="585"/>
    </row>
    <row r="35" spans="1:9" ht="20.100000000000001" customHeight="1" x14ac:dyDescent="0.2">
      <c r="A35" s="555">
        <v>25</v>
      </c>
      <c r="B35" s="558" t="str">
        <f t="shared" si="0"/>
        <v>Revestimiento cerámico</v>
      </c>
      <c r="C35" s="559" t="str">
        <f t="shared" si="1"/>
        <v>m2</v>
      </c>
      <c r="D35" s="567">
        <v>15.3</v>
      </c>
      <c r="E35" s="557">
        <f t="shared" si="3"/>
        <v>0</v>
      </c>
      <c r="F35" s="557">
        <f t="shared" si="2"/>
        <v>0</v>
      </c>
      <c r="G35" s="585"/>
      <c r="H35" s="107"/>
      <c r="I35" s="585"/>
    </row>
    <row r="36" spans="1:9" ht="20.100000000000001" customHeight="1" x14ac:dyDescent="0.2">
      <c r="A36" s="555">
        <v>26</v>
      </c>
      <c r="B36" s="558" t="str">
        <f t="shared" si="0"/>
        <v>Salpicado Plástico Incluido Jaharro</v>
      </c>
      <c r="C36" s="559" t="str">
        <f t="shared" si="1"/>
        <v>m2</v>
      </c>
      <c r="D36" s="567">
        <v>118.06</v>
      </c>
      <c r="E36" s="557">
        <f t="shared" si="3"/>
        <v>0</v>
      </c>
      <c r="F36" s="557">
        <f t="shared" si="2"/>
        <v>0</v>
      </c>
      <c r="G36" s="585"/>
      <c r="H36" s="107"/>
      <c r="I36" s="585"/>
    </row>
    <row r="37" spans="1:9" ht="20.100000000000001" customHeight="1" x14ac:dyDescent="0.2">
      <c r="A37" s="555">
        <v>27</v>
      </c>
      <c r="B37" s="558" t="str">
        <f t="shared" si="0"/>
        <v>Cielorraso aplicado a la cal</v>
      </c>
      <c r="C37" s="559" t="str">
        <f t="shared" si="1"/>
        <v>m2</v>
      </c>
      <c r="D37" s="567">
        <v>29.34</v>
      </c>
      <c r="E37" s="557">
        <f t="shared" si="3"/>
        <v>0</v>
      </c>
      <c r="F37" s="557">
        <f t="shared" si="2"/>
        <v>0</v>
      </c>
      <c r="G37" s="585"/>
      <c r="H37" s="107"/>
      <c r="I37" s="585"/>
    </row>
    <row r="38" spans="1:9" ht="20.100000000000001" customHeight="1" x14ac:dyDescent="0.2">
      <c r="A38" s="555" t="s">
        <v>1352</v>
      </c>
      <c r="B38" s="558" t="str">
        <f t="shared" si="0"/>
        <v>Mesadas, campana y ventilaciones p/ disc.(incluida mesada exterior)</v>
      </c>
      <c r="C38" s="559" t="str">
        <f t="shared" si="1"/>
        <v>gl</v>
      </c>
      <c r="D38" s="568">
        <v>1</v>
      </c>
      <c r="E38" s="557">
        <f t="shared" si="3"/>
        <v>0</v>
      </c>
      <c r="F38" s="557">
        <f t="shared" si="2"/>
        <v>0</v>
      </c>
      <c r="G38" s="586"/>
      <c r="H38" s="107"/>
      <c r="I38" s="586"/>
    </row>
    <row r="39" spans="1:9" ht="20.100000000000001" customHeight="1" x14ac:dyDescent="0.2">
      <c r="A39" s="555">
        <v>29</v>
      </c>
      <c r="B39" s="558" t="str">
        <f t="shared" si="0"/>
        <v>Antepechos de H° Armado con goterón bajo nariz de 2cm</v>
      </c>
      <c r="C39" s="559" t="str">
        <f t="shared" si="1"/>
        <v>ml</v>
      </c>
      <c r="D39" s="567">
        <v>4.5</v>
      </c>
      <c r="E39" s="557">
        <f t="shared" si="3"/>
        <v>0</v>
      </c>
      <c r="F39" s="557">
        <f t="shared" si="2"/>
        <v>0</v>
      </c>
      <c r="G39" s="585"/>
      <c r="H39" s="107"/>
      <c r="I39" s="585"/>
    </row>
    <row r="40" spans="1:9" ht="20.100000000000001" customHeight="1" x14ac:dyDescent="0.2">
      <c r="A40" s="555">
        <v>30</v>
      </c>
      <c r="B40" s="558" t="str">
        <f>IFERROR(VLOOKUP(A40,Tabla_Datos,2,FALSE),0)</f>
        <v>Esmalte sintético sobre carpintería metálica</v>
      </c>
      <c r="C40" s="559" t="str">
        <f>IFERROR(VLOOKUP(A40,Tabla_Datos,3,FALSE),0)</f>
        <v>m2</v>
      </c>
      <c r="D40" s="567">
        <v>16.170000000000002</v>
      </c>
      <c r="E40" s="557">
        <f>IFERROR(VLOOKUP(A40,Tabla_Comp_Presup,7,FALSE),0)</f>
        <v>0</v>
      </c>
      <c r="F40" s="557">
        <f t="shared" si="2"/>
        <v>0</v>
      </c>
      <c r="G40" s="585"/>
      <c r="H40" s="107"/>
      <c r="I40" s="585"/>
    </row>
    <row r="41" spans="1:9" ht="20.100000000000001" customHeight="1" x14ac:dyDescent="0.2">
      <c r="A41" s="555">
        <v>31</v>
      </c>
      <c r="B41" s="558" t="str">
        <f t="shared" ref="B41:B47" si="7">IFERROR(VLOOKUP(A41,Tabla_Datos,2,FALSE),0)</f>
        <v>Esmalte sintético sobre carpintería madera</v>
      </c>
      <c r="C41" s="559" t="str">
        <f t="shared" ref="C41:C47" si="8">IFERROR(VLOOKUP(A41,Tabla_Datos,3,FALSE),0)</f>
        <v>m2</v>
      </c>
      <c r="D41" s="567">
        <v>13.36</v>
      </c>
      <c r="E41" s="557">
        <f t="shared" ref="E41:E47" si="9">IFERROR(VLOOKUP(A41,Tabla_Comp_Presup,7,FALSE),0)</f>
        <v>0</v>
      </c>
      <c r="F41" s="557">
        <f t="shared" si="2"/>
        <v>0</v>
      </c>
      <c r="G41" s="585"/>
      <c r="H41" s="107"/>
      <c r="I41" s="585"/>
    </row>
    <row r="42" spans="1:9" ht="20.100000000000001" customHeight="1" x14ac:dyDescent="0.2">
      <c r="A42" s="555">
        <v>32</v>
      </c>
      <c r="B42" s="558" t="str">
        <f>IFERROR(VLOOKUP(A42,Tabla_Datos,2,FALSE),0)</f>
        <v>Látex muro interior/exterior</v>
      </c>
      <c r="C42" s="559" t="str">
        <f>IFERROR(VLOOKUP(A42,Tabla_Datos,3,FALSE),0)</f>
        <v>m2</v>
      </c>
      <c r="D42" s="567">
        <v>128.55000000000001</v>
      </c>
      <c r="E42" s="557">
        <f>IFERROR(VLOOKUP(A42,Tabla_Comp_Presup,7,FALSE),0)</f>
        <v>0</v>
      </c>
      <c r="F42" s="557">
        <f t="shared" si="2"/>
        <v>0</v>
      </c>
      <c r="G42" s="585"/>
      <c r="H42" s="107"/>
      <c r="I42" s="585"/>
    </row>
    <row r="43" spans="1:9" ht="20.100000000000001" customHeight="1" x14ac:dyDescent="0.2">
      <c r="A43" s="555">
        <v>33</v>
      </c>
      <c r="B43" s="558" t="str">
        <f t="shared" si="7"/>
        <v>Pintura látex interior en cielorrasos</v>
      </c>
      <c r="C43" s="559" t="str">
        <f t="shared" si="8"/>
        <v>m2</v>
      </c>
      <c r="D43" s="567">
        <v>29.34</v>
      </c>
      <c r="E43" s="557">
        <f t="shared" si="9"/>
        <v>0</v>
      </c>
      <c r="F43" s="557">
        <f t="shared" si="2"/>
        <v>0</v>
      </c>
      <c r="G43" s="585"/>
      <c r="H43" s="107"/>
      <c r="I43" s="585"/>
    </row>
    <row r="44" spans="1:9" ht="20.100000000000001" customHeight="1" x14ac:dyDescent="0.2">
      <c r="A44" s="555">
        <v>34</v>
      </c>
      <c r="B44" s="558" t="str">
        <f t="shared" si="7"/>
        <v>Provisión y colocación de cristal float 3mm</v>
      </c>
      <c r="C44" s="559" t="str">
        <f t="shared" si="8"/>
        <v>m2</v>
      </c>
      <c r="D44" s="567">
        <v>5.69</v>
      </c>
      <c r="E44" s="557">
        <f t="shared" si="9"/>
        <v>0</v>
      </c>
      <c r="F44" s="557">
        <f>ROUND(D44*E44,15)</f>
        <v>0</v>
      </c>
      <c r="G44" s="585"/>
      <c r="H44" s="107"/>
      <c r="I44" s="585"/>
    </row>
    <row r="45" spans="1:9" ht="20.100000000000001" customHeight="1" x14ac:dyDescent="0.2">
      <c r="A45" s="555">
        <v>35</v>
      </c>
      <c r="B45" s="558" t="str">
        <f t="shared" si="7"/>
        <v>Provisión y colocación de cristal float 4mm</v>
      </c>
      <c r="C45" s="559" t="str">
        <f t="shared" si="8"/>
        <v>m2</v>
      </c>
      <c r="D45" s="567">
        <v>3.59</v>
      </c>
      <c r="E45" s="557">
        <f t="shared" si="9"/>
        <v>0</v>
      </c>
      <c r="F45" s="557">
        <f t="shared" si="2"/>
        <v>0</v>
      </c>
      <c r="G45" s="585"/>
      <c r="H45" s="107"/>
      <c r="I45" s="585"/>
    </row>
    <row r="46" spans="1:9" ht="20.100000000000001" customHeight="1" x14ac:dyDescent="0.2">
      <c r="A46" s="555">
        <v>36</v>
      </c>
      <c r="B46" s="558" t="str">
        <f t="shared" si="7"/>
        <v>Pérgolas (Frente y Fondo)  - Incluye Base de Hormigón Simple H 13</v>
      </c>
      <c r="C46" s="559" t="str">
        <f t="shared" si="8"/>
        <v>gl</v>
      </c>
      <c r="D46" s="567">
        <v>1</v>
      </c>
      <c r="E46" s="557">
        <f t="shared" si="9"/>
        <v>0</v>
      </c>
      <c r="F46" s="557">
        <f t="shared" si="2"/>
        <v>0</v>
      </c>
      <c r="G46" s="585"/>
      <c r="H46" s="107"/>
      <c r="I46" s="585"/>
    </row>
    <row r="47" spans="1:9" ht="20.100000000000001" customHeight="1" x14ac:dyDescent="0.2">
      <c r="A47" s="555" t="s">
        <v>1353</v>
      </c>
      <c r="B47" s="558" t="str">
        <f t="shared" si="7"/>
        <v xml:space="preserve">Instalación sanitaria p/ disc.(incl. cañería base, distrib. AF-AC, artefactos y grifería) </v>
      </c>
      <c r="C47" s="559" t="str">
        <f t="shared" si="8"/>
        <v>gl</v>
      </c>
      <c r="D47" s="567">
        <v>1</v>
      </c>
      <c r="E47" s="557">
        <f t="shared" si="9"/>
        <v>0</v>
      </c>
      <c r="F47" s="557">
        <f t="shared" si="2"/>
        <v>0</v>
      </c>
      <c r="G47" s="585"/>
      <c r="H47" s="107"/>
      <c r="I47" s="585"/>
    </row>
    <row r="48" spans="1:9" ht="20.100000000000001" customHeight="1" x14ac:dyDescent="0.2">
      <c r="A48" s="555">
        <v>38</v>
      </c>
      <c r="B48" s="558" t="str">
        <f t="shared" ref="B48:B53" si="10">IFERROR(VLOOKUP(A48,Tabla_Datos,2,FALSE),0)</f>
        <v>Calefón Solar - Termosifónico - Captador por tubo de vacío</v>
      </c>
      <c r="C48" s="559" t="str">
        <f t="shared" ref="C48:C53" si="11">IFERROR(VLOOKUP(A48,Tabla_Datos,3,FALSE),0)</f>
        <v>u</v>
      </c>
      <c r="D48" s="567">
        <v>1</v>
      </c>
      <c r="E48" s="557">
        <f t="shared" ref="E48:E52" si="12">IFERROR(VLOOKUP(A48,Tabla_Comp_Presup,7,FALSE),0)</f>
        <v>0</v>
      </c>
      <c r="F48" s="557">
        <f t="shared" si="2"/>
        <v>0</v>
      </c>
      <c r="G48" s="585"/>
      <c r="H48" s="107"/>
      <c r="I48" s="585"/>
    </row>
    <row r="49" spans="1:9" ht="20.100000000000001" customHeight="1" x14ac:dyDescent="0.2">
      <c r="A49" s="555">
        <v>39</v>
      </c>
      <c r="B49" s="558" t="str">
        <f t="shared" si="10"/>
        <v>Instalación de Gas (Incl. Cocina 4 hornallas c/horno)</v>
      </c>
      <c r="C49" s="559" t="str">
        <f t="shared" si="11"/>
        <v>gl</v>
      </c>
      <c r="D49" s="567">
        <v>1</v>
      </c>
      <c r="E49" s="557">
        <f t="shared" si="12"/>
        <v>0</v>
      </c>
      <c r="F49" s="557">
        <f t="shared" si="2"/>
        <v>0</v>
      </c>
      <c r="G49" s="585"/>
      <c r="H49" s="107"/>
      <c r="I49" s="585"/>
    </row>
    <row r="50" spans="1:9" ht="20.100000000000001" customHeight="1" x14ac:dyDescent="0.2">
      <c r="A50" s="555">
        <v>40</v>
      </c>
      <c r="B50" s="558" t="str">
        <f t="shared" si="10"/>
        <v>Instalación de gas - Gabinete para tubos</v>
      </c>
      <c r="C50" s="559" t="str">
        <f t="shared" si="11"/>
        <v>u</v>
      </c>
      <c r="D50" s="567">
        <v>1</v>
      </c>
      <c r="E50" s="557">
        <f t="shared" si="12"/>
        <v>0</v>
      </c>
      <c r="F50" s="557">
        <f t="shared" si="2"/>
        <v>0</v>
      </c>
      <c r="G50" s="585"/>
      <c r="H50" s="107"/>
      <c r="I50" s="585"/>
    </row>
    <row r="51" spans="1:9" ht="20.100000000000001" customHeight="1" x14ac:dyDescent="0.2">
      <c r="A51" s="555">
        <v>41</v>
      </c>
      <c r="B51" s="558" t="str">
        <f t="shared" si="10"/>
        <v>Instalación eléctrica (incl.pilastra,proc.cañerias p/3AA,y preveer espacios en tablero gral. p/llaves termomagnéticas corresp. Portalámparas 3 cuerpos)</v>
      </c>
      <c r="C51" s="559" t="str">
        <f t="shared" si="11"/>
        <v>gl</v>
      </c>
      <c r="D51" s="567">
        <v>1</v>
      </c>
      <c r="E51" s="557">
        <f t="shared" si="12"/>
        <v>0</v>
      </c>
      <c r="F51" s="557">
        <f t="shared" si="2"/>
        <v>0</v>
      </c>
      <c r="G51" s="585"/>
      <c r="H51" s="107"/>
      <c r="I51" s="585"/>
    </row>
    <row r="52" spans="1:9" ht="20.100000000000001" customHeight="1" x14ac:dyDescent="0.2">
      <c r="A52" s="555">
        <v>42</v>
      </c>
      <c r="B52" s="558" t="str">
        <f t="shared" si="10"/>
        <v>Terminación y limpieza de obra</v>
      </c>
      <c r="C52" s="559" t="str">
        <f t="shared" si="11"/>
        <v>gl</v>
      </c>
      <c r="D52" s="567">
        <v>1</v>
      </c>
      <c r="E52" s="557">
        <f t="shared" si="12"/>
        <v>0</v>
      </c>
      <c r="F52" s="557">
        <f t="shared" si="2"/>
        <v>0</v>
      </c>
      <c r="G52" s="585"/>
      <c r="H52" s="107"/>
      <c r="I52" s="585"/>
    </row>
    <row r="53" spans="1:9" ht="20.100000000000001" customHeight="1" x14ac:dyDescent="0.2">
      <c r="A53" s="555">
        <v>43</v>
      </c>
      <c r="B53" s="558" t="str">
        <f t="shared" si="10"/>
        <v>Flete</v>
      </c>
      <c r="C53" s="559" t="str">
        <f t="shared" si="11"/>
        <v>gl</v>
      </c>
      <c r="D53" s="567">
        <v>1</v>
      </c>
      <c r="E53" s="557">
        <f>IFERROR(VLOOKUP(A53,Tabla_Comp_Presup,7,FALSE),0)</f>
        <v>0</v>
      </c>
      <c r="F53" s="557">
        <f t="shared" si="2"/>
        <v>0</v>
      </c>
      <c r="G53" s="585"/>
      <c r="H53" s="107"/>
      <c r="I53" s="585"/>
    </row>
    <row r="54" spans="1:9" ht="20.100000000000001" customHeight="1" x14ac:dyDescent="0.2">
      <c r="A54" s="555"/>
      <c r="B54" s="558"/>
      <c r="C54" s="559"/>
      <c r="D54" s="567"/>
      <c r="E54" s="557"/>
      <c r="F54" s="557"/>
      <c r="G54" s="585"/>
      <c r="H54" s="107"/>
      <c r="I54" s="585"/>
    </row>
    <row r="55" spans="1:9" ht="20.100000000000001" customHeight="1" x14ac:dyDescent="0.2">
      <c r="A55" s="235"/>
      <c r="B55" s="236"/>
      <c r="C55" s="237"/>
      <c r="D55" s="238"/>
      <c r="E55" s="239"/>
      <c r="F55" s="239"/>
    </row>
    <row r="56" spans="1:9" ht="20.100000000000001" customHeight="1" x14ac:dyDescent="0.2">
      <c r="A56" s="530" t="s">
        <v>1106</v>
      </c>
      <c r="B56" s="531" t="s">
        <v>1166</v>
      </c>
      <c r="C56" s="532"/>
      <c r="D56" s="533"/>
      <c r="E56" s="534"/>
      <c r="F56" s="535">
        <f>ROUND(F65/Coef_Paso_Vivienda,2)</f>
        <v>0</v>
      </c>
    </row>
    <row r="57" spans="1:9" ht="20.100000000000001" customHeight="1" x14ac:dyDescent="0.2">
      <c r="A57" s="536" t="s">
        <v>1107</v>
      </c>
      <c r="B57" s="537" t="str">
        <f>"COSTO FINANCIERO  "&amp;ROUND(Costo_Financiero*100,2)&amp;" % de ( 1 )"</f>
        <v>COSTO FINANCIERO  0 % de ( 1 )</v>
      </c>
      <c r="C57" s="538">
        <f>Costo_Financiero</f>
        <v>0</v>
      </c>
      <c r="D57" s="539"/>
      <c r="E57" s="540">
        <f>Costo_Financiero</f>
        <v>0</v>
      </c>
      <c r="F57" s="541">
        <f>ROUND(F56*Costo_Financiero,2)</f>
        <v>0</v>
      </c>
    </row>
    <row r="58" spans="1:9" ht="20.100000000000001" customHeight="1" x14ac:dyDescent="0.2">
      <c r="A58" s="536" t="s">
        <v>1108</v>
      </c>
      <c r="B58" s="537" t="s">
        <v>1162</v>
      </c>
      <c r="C58" s="538"/>
      <c r="D58" s="539"/>
      <c r="E58" s="542"/>
      <c r="F58" s="541">
        <f>F56+F57</f>
        <v>0</v>
      </c>
    </row>
    <row r="59" spans="1:9" ht="20.100000000000001" customHeight="1" x14ac:dyDescent="0.2">
      <c r="A59" s="536" t="s">
        <v>1109</v>
      </c>
      <c r="B59" s="543" t="str">
        <f>CONCATENATE("GASTOS GENERALES  ",ROUND(Gastos_Generales*100,3)," % de ( 3 )")</f>
        <v>GASTOS GENERALES  0 % de ( 3 )</v>
      </c>
      <c r="C59" s="540">
        <f>Gastos_Generales</f>
        <v>0</v>
      </c>
      <c r="D59" s="544"/>
      <c r="E59" s="542"/>
      <c r="F59" s="541">
        <f>ROUND(F58*Gastos_Generales,2)</f>
        <v>0</v>
      </c>
    </row>
    <row r="60" spans="1:9" ht="20.100000000000001" customHeight="1" x14ac:dyDescent="0.2">
      <c r="A60" s="536" t="s">
        <v>1110</v>
      </c>
      <c r="B60" s="543" t="str">
        <f>CONCATENATE("BENEFICIOS  ",ROUND(Beneficio*100,2)," % de ( 3 )")</f>
        <v>BENEFICIOS  0 % de ( 3 )</v>
      </c>
      <c r="C60" s="540">
        <f>Beneficio</f>
        <v>0</v>
      </c>
      <c r="D60" s="544"/>
      <c r="E60" s="542"/>
      <c r="F60" s="541">
        <f>ROUND(F58*Beneficio,2)</f>
        <v>0</v>
      </c>
    </row>
    <row r="61" spans="1:9" ht="20.100000000000001" customHeight="1" x14ac:dyDescent="0.2">
      <c r="A61" s="536">
        <v>6</v>
      </c>
      <c r="B61" s="537" t="s">
        <v>1163</v>
      </c>
      <c r="C61" s="542"/>
      <c r="D61" s="544"/>
      <c r="E61" s="542"/>
      <c r="F61" s="541">
        <f>F58+F59+F60</f>
        <v>0</v>
      </c>
    </row>
    <row r="62" spans="1:9" ht="20.100000000000001" customHeight="1" x14ac:dyDescent="0.2">
      <c r="A62" s="536" t="s">
        <v>1164</v>
      </c>
      <c r="B62" s="543" t="str">
        <f>CONCATENATE("INGRESOS BRUTOS Y LOTE HOGAR  ",ROUND(Ingresos_Brutos*100,2)," % de ( 6 )")</f>
        <v>INGRESOS BRUTOS Y LOTE HOGAR  2,4 % de ( 6 )</v>
      </c>
      <c r="C62" s="540">
        <f>Ingresos_Brutos</f>
        <v>2.4E-2</v>
      </c>
      <c r="D62" s="544"/>
      <c r="E62" s="542"/>
      <c r="F62" s="541">
        <f>IF(Ingresos_Brutos=0,,ROUND(Ingresos_Brutos*F61,2))</f>
        <v>0</v>
      </c>
    </row>
    <row r="63" spans="1:9" ht="20.100000000000001" customHeight="1" x14ac:dyDescent="0.2">
      <c r="A63" s="545" t="s">
        <v>1165</v>
      </c>
      <c r="B63" s="546" t="str">
        <f>CONCATENATE("IMPUESTO AL VALOR AGREGADO ",IVA_Vivienda*100," % de ( 6 )")</f>
        <v>IMPUESTO AL VALOR AGREGADO 10,5 % de ( 6 )</v>
      </c>
      <c r="C63" s="547">
        <f>IVA_Vivienda</f>
        <v>0.105</v>
      </c>
      <c r="D63" s="548"/>
      <c r="E63" s="549"/>
      <c r="F63" s="550">
        <f>IF(IVA_Vivienda=0,,ROUND(IVA_Vivienda*F61,2))</f>
        <v>0</v>
      </c>
    </row>
    <row r="64" spans="1:9" ht="20.100000000000001" customHeight="1" x14ac:dyDescent="0.2">
      <c r="A64" s="100"/>
      <c r="B64" s="95"/>
      <c r="C64" s="95"/>
      <c r="D64" s="96"/>
      <c r="E64" s="97"/>
      <c r="F64" s="2"/>
    </row>
    <row r="65" spans="1:9" ht="20.100000000000001" customHeight="1" x14ac:dyDescent="0.2">
      <c r="A65" s="560"/>
      <c r="B65" s="561" t="str">
        <f>"PRECIO TOTAL VIVENDA"</f>
        <v>PRECIO TOTAL VIVENDA</v>
      </c>
      <c r="C65" s="561"/>
      <c r="D65" s="562"/>
      <c r="E65" s="563"/>
      <c r="F65" s="564">
        <f>SUM(F6:F54)</f>
        <v>0</v>
      </c>
      <c r="I65" s="166"/>
    </row>
    <row r="67" spans="1:9" ht="20.100000000000001" customHeight="1" x14ac:dyDescent="0.2">
      <c r="F67" s="166"/>
    </row>
  </sheetData>
  <sheetProtection formatCells="0" selectLockedCells="1"/>
  <mergeCells count="7">
    <mergeCell ref="A1:F1"/>
    <mergeCell ref="A7:A8"/>
    <mergeCell ref="B7:B8"/>
    <mergeCell ref="C7:C8"/>
    <mergeCell ref="D7:D8"/>
    <mergeCell ref="E7:E8"/>
    <mergeCell ref="F7:F8"/>
  </mergeCells>
  <conditionalFormatting sqref="A42:B42 A32:B32 B10:B54 A11:A54">
    <cfRule type="expression" dxfId="162" priority="32">
      <formula>$C10=0</formula>
    </cfRule>
  </conditionalFormatting>
  <conditionalFormatting sqref="A10">
    <cfRule type="expression" dxfId="161" priority="31" stopIfTrue="1">
      <formula>$C10=0</formula>
    </cfRule>
  </conditionalFormatting>
  <conditionalFormatting sqref="F56">
    <cfRule type="expression" dxfId="160" priority="5" stopIfTrue="1">
      <formula>#REF!=1</formula>
    </cfRule>
  </conditionalFormatting>
  <conditionalFormatting sqref="B55">
    <cfRule type="expression" dxfId="159" priority="27" stopIfTrue="1">
      <formula>$C55=0</formula>
    </cfRule>
  </conditionalFormatting>
  <conditionalFormatting sqref="A55">
    <cfRule type="expression" dxfId="158" priority="26" stopIfTrue="1">
      <formula>$C55=0</formula>
    </cfRule>
  </conditionalFormatting>
  <conditionalFormatting sqref="A38:A40">
    <cfRule type="expression" dxfId="157" priority="1" stopIfTrue="1">
      <formula>$C38=0</formula>
    </cfRule>
  </conditionalFormatting>
  <pageMargins left="0.39370078740157483" right="0.39370078740157483" top="0.39370078740157483" bottom="0.39370078740157483" header="0.39370078740157483" footer="0.39370078740157483"/>
  <pageSetup paperSize="9" scale="57"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4">
    <pageSetUpPr fitToPage="1"/>
  </sheetPr>
  <dimension ref="A1:H69"/>
  <sheetViews>
    <sheetView workbookViewId="0">
      <selection activeCell="D11" sqref="D11:D56"/>
    </sheetView>
  </sheetViews>
  <sheetFormatPr baseColWidth="10" defaultColWidth="11.42578125" defaultRowHeight="20.100000000000001" customHeight="1" x14ac:dyDescent="0.2"/>
  <cols>
    <col min="1" max="1" width="12.7109375" style="87" customWidth="1"/>
    <col min="2" max="2" width="79.85546875" style="87" customWidth="1"/>
    <col min="3" max="3" width="10.7109375" style="87" customWidth="1"/>
    <col min="4" max="4" width="14.7109375" style="87" customWidth="1"/>
    <col min="5" max="6" width="16.7109375" style="87" customWidth="1"/>
    <col min="7" max="12" width="11.42578125" style="87"/>
    <col min="13" max="13" width="55" style="87" customWidth="1"/>
    <col min="14" max="16384" width="11.42578125" style="87"/>
  </cols>
  <sheetData>
    <row r="1" spans="1:6" ht="20.100000000000001" customHeight="1" x14ac:dyDescent="0.2">
      <c r="A1" s="611" t="s">
        <v>1237</v>
      </c>
      <c r="B1" s="611"/>
      <c r="C1" s="611"/>
      <c r="D1" s="611"/>
      <c r="E1" s="611"/>
      <c r="F1" s="611"/>
    </row>
    <row r="2" spans="1:6" s="109" customFormat="1" ht="20.100000000000001" customHeight="1" x14ac:dyDescent="0.2">
      <c r="A2" s="109" t="s">
        <v>1235</v>
      </c>
      <c r="B2" s="108" t="str">
        <f>Obra</f>
        <v>BARRIO JOSÉ AMÉRICO GRIMALT - SECTOR B</v>
      </c>
      <c r="C2" s="185"/>
      <c r="D2" s="110"/>
      <c r="E2" s="110"/>
      <c r="F2" s="110"/>
    </row>
    <row r="3" spans="1:6" s="109" customFormat="1" ht="20.100000000000001" customHeight="1" x14ac:dyDescent="0.2">
      <c r="A3" s="109" t="str">
        <f>"UBICACION:      "&amp;Ubicación</f>
        <v>UBICACION:      DEPTO. ULLÚM</v>
      </c>
      <c r="B3" s="108" t="str">
        <f>Ubicación</f>
        <v>DEPTO. ULLÚM</v>
      </c>
      <c r="C3" s="110"/>
      <c r="D3" s="110"/>
      <c r="E3" s="110"/>
      <c r="F3" s="110"/>
    </row>
    <row r="4" spans="1:6" s="109" customFormat="1" ht="20.100000000000001" customHeight="1" x14ac:dyDescent="0.2">
      <c r="A4" s="109" t="s">
        <v>1128</v>
      </c>
      <c r="B4" s="116" t="s">
        <v>1292</v>
      </c>
      <c r="D4" s="110"/>
      <c r="E4" s="110"/>
      <c r="F4" s="110"/>
    </row>
    <row r="5" spans="1:6" s="109" customFormat="1" ht="20.100000000000001" customHeight="1" x14ac:dyDescent="0.2">
      <c r="A5" s="109" t="s">
        <v>1159</v>
      </c>
      <c r="B5" s="164"/>
      <c r="D5" s="110"/>
      <c r="E5" s="110"/>
      <c r="F5" s="110"/>
    </row>
    <row r="6" spans="1:6" ht="20.100000000000001" customHeight="1" x14ac:dyDescent="0.2">
      <c r="A6" s="165"/>
      <c r="B6" s="231"/>
      <c r="C6" s="165"/>
      <c r="D6" s="165"/>
      <c r="E6" s="107"/>
    </row>
    <row r="7" spans="1:6" ht="20.100000000000001" customHeight="1" x14ac:dyDescent="0.2">
      <c r="A7" s="612" t="s">
        <v>1105</v>
      </c>
      <c r="B7" s="614" t="s">
        <v>0</v>
      </c>
      <c r="C7" s="612" t="s">
        <v>1</v>
      </c>
      <c r="D7" s="612" t="s">
        <v>2</v>
      </c>
      <c r="E7" s="612" t="s">
        <v>1151</v>
      </c>
      <c r="F7" s="612" t="s">
        <v>1161</v>
      </c>
    </row>
    <row r="8" spans="1:6" ht="20.100000000000001" customHeight="1" x14ac:dyDescent="0.2">
      <c r="A8" s="613"/>
      <c r="B8" s="615"/>
      <c r="C8" s="613"/>
      <c r="D8" s="613"/>
      <c r="E8" s="613"/>
      <c r="F8" s="613"/>
    </row>
    <row r="9" spans="1:6" ht="20.100000000000001" customHeight="1" x14ac:dyDescent="0.2">
      <c r="A9" s="240"/>
      <c r="B9" s="230"/>
      <c r="C9" s="174"/>
      <c r="D9" s="174"/>
      <c r="E9" s="174"/>
      <c r="F9" s="241"/>
    </row>
    <row r="10" spans="1:6" ht="20.100000000000001" customHeight="1" x14ac:dyDescent="0.2">
      <c r="A10" s="274" t="s">
        <v>1125</v>
      </c>
      <c r="B10" s="275" t="str">
        <f t="shared" ref="B10:B55" si="0">IFERROR(VLOOKUP(A10,Tabla_Datos,2,FALSE),0)</f>
        <v>VIVIENDA</v>
      </c>
      <c r="C10" s="276">
        <f t="shared" ref="C10:C55" si="1">IFERROR(VLOOKUP(A10,Tabla_Datos,3,FALSE),0)</f>
        <v>0</v>
      </c>
      <c r="D10" s="277"/>
      <c r="E10" s="309">
        <f>IFERROR(VLOOKUP(A10,Tabla_Comp_Presup,7,FALSE),0)</f>
        <v>0</v>
      </c>
      <c r="F10" s="309">
        <f>ROUND(D10*E10,2)</f>
        <v>0</v>
      </c>
    </row>
    <row r="11" spans="1:6" ht="20.100000000000001" customHeight="1" x14ac:dyDescent="0.2">
      <c r="A11" s="268"/>
      <c r="B11" s="270">
        <f t="shared" si="0"/>
        <v>0</v>
      </c>
      <c r="C11" s="271">
        <f t="shared" si="1"/>
        <v>0</v>
      </c>
      <c r="D11" s="279"/>
      <c r="E11" s="282">
        <f t="shared" ref="E11:E55" si="2">IFERROR(VLOOKUP(A11,Tabla_Comp_Presup,7,FALSE),0)</f>
        <v>0</v>
      </c>
      <c r="F11" s="282">
        <f>ROUND(D11*E11,15)</f>
        <v>0</v>
      </c>
    </row>
    <row r="12" spans="1:6" ht="20.100000000000001" customHeight="1" x14ac:dyDescent="0.2">
      <c r="A12" s="268"/>
      <c r="B12" s="272">
        <f t="shared" si="0"/>
        <v>0</v>
      </c>
      <c r="C12" s="273">
        <f t="shared" si="1"/>
        <v>0</v>
      </c>
      <c r="D12" s="280"/>
      <c r="E12" s="282">
        <f t="shared" si="2"/>
        <v>0</v>
      </c>
      <c r="F12" s="282">
        <f t="shared" ref="F12:F56" si="3">ROUND(D12*E12,15)</f>
        <v>0</v>
      </c>
    </row>
    <row r="13" spans="1:6" ht="20.100000000000001" customHeight="1" x14ac:dyDescent="0.2">
      <c r="A13" s="268"/>
      <c r="B13" s="272">
        <f t="shared" si="0"/>
        <v>0</v>
      </c>
      <c r="C13" s="273">
        <f t="shared" si="1"/>
        <v>0</v>
      </c>
      <c r="D13" s="280"/>
      <c r="E13" s="282">
        <f t="shared" si="2"/>
        <v>0</v>
      </c>
      <c r="F13" s="282">
        <f t="shared" si="3"/>
        <v>0</v>
      </c>
    </row>
    <row r="14" spans="1:6" ht="20.100000000000001" customHeight="1" x14ac:dyDescent="0.2">
      <c r="A14" s="268"/>
      <c r="B14" s="272">
        <f t="shared" si="0"/>
        <v>0</v>
      </c>
      <c r="C14" s="273">
        <f t="shared" si="1"/>
        <v>0</v>
      </c>
      <c r="D14" s="280"/>
      <c r="E14" s="282">
        <f t="shared" si="2"/>
        <v>0</v>
      </c>
      <c r="F14" s="282">
        <f t="shared" si="3"/>
        <v>0</v>
      </c>
    </row>
    <row r="15" spans="1:6" ht="20.100000000000001" customHeight="1" x14ac:dyDescent="0.2">
      <c r="A15" s="268"/>
      <c r="B15" s="272">
        <f t="shared" si="0"/>
        <v>0</v>
      </c>
      <c r="C15" s="273">
        <f t="shared" si="1"/>
        <v>0</v>
      </c>
      <c r="D15" s="280"/>
      <c r="E15" s="282">
        <f t="shared" si="2"/>
        <v>0</v>
      </c>
      <c r="F15" s="282">
        <f t="shared" si="3"/>
        <v>0</v>
      </c>
    </row>
    <row r="16" spans="1:6" ht="20.100000000000001" customHeight="1" x14ac:dyDescent="0.2">
      <c r="A16" s="268"/>
      <c r="B16" s="272">
        <f t="shared" si="0"/>
        <v>0</v>
      </c>
      <c r="C16" s="273">
        <f t="shared" si="1"/>
        <v>0</v>
      </c>
      <c r="D16" s="280"/>
      <c r="E16" s="282">
        <f t="shared" ca="1" si="2"/>
        <v>0</v>
      </c>
      <c r="F16" s="282">
        <f t="shared" ca="1" si="3"/>
        <v>0</v>
      </c>
    </row>
    <row r="17" spans="1:6" ht="20.100000000000001" customHeight="1" x14ac:dyDescent="0.2">
      <c r="A17" s="268"/>
      <c r="B17" s="272">
        <f t="shared" si="0"/>
        <v>0</v>
      </c>
      <c r="C17" s="273">
        <f t="shared" si="1"/>
        <v>0</v>
      </c>
      <c r="D17" s="280"/>
      <c r="E17" s="282">
        <f t="shared" si="2"/>
        <v>0</v>
      </c>
      <c r="F17" s="282">
        <f t="shared" si="3"/>
        <v>0</v>
      </c>
    </row>
    <row r="18" spans="1:6" ht="20.100000000000001" customHeight="1" x14ac:dyDescent="0.2">
      <c r="A18" s="268"/>
      <c r="B18" s="272">
        <f t="shared" si="0"/>
        <v>0</v>
      </c>
      <c r="C18" s="273">
        <f t="shared" si="1"/>
        <v>0</v>
      </c>
      <c r="D18" s="280"/>
      <c r="E18" s="282">
        <f t="shared" si="2"/>
        <v>0</v>
      </c>
      <c r="F18" s="282">
        <f t="shared" si="3"/>
        <v>0</v>
      </c>
    </row>
    <row r="19" spans="1:6" ht="20.100000000000001" customHeight="1" x14ac:dyDescent="0.2">
      <c r="A19" s="268"/>
      <c r="B19" s="272">
        <f t="shared" si="0"/>
        <v>0</v>
      </c>
      <c r="C19" s="273">
        <f t="shared" si="1"/>
        <v>0</v>
      </c>
      <c r="D19" s="280"/>
      <c r="E19" s="282">
        <f t="shared" ca="1" si="2"/>
        <v>0</v>
      </c>
      <c r="F19" s="282">
        <f t="shared" ca="1" si="3"/>
        <v>0</v>
      </c>
    </row>
    <row r="20" spans="1:6" ht="20.100000000000001" customHeight="1" x14ac:dyDescent="0.2">
      <c r="A20" s="268"/>
      <c r="B20" s="272">
        <f t="shared" si="0"/>
        <v>0</v>
      </c>
      <c r="C20" s="273">
        <f t="shared" si="1"/>
        <v>0</v>
      </c>
      <c r="D20" s="280"/>
      <c r="E20" s="282">
        <f t="shared" si="2"/>
        <v>0</v>
      </c>
      <c r="F20" s="282">
        <f t="shared" si="3"/>
        <v>0</v>
      </c>
    </row>
    <row r="21" spans="1:6" ht="20.100000000000001" customHeight="1" x14ac:dyDescent="0.2">
      <c r="A21" s="268"/>
      <c r="B21" s="272">
        <f t="shared" si="0"/>
        <v>0</v>
      </c>
      <c r="C21" s="273">
        <f t="shared" si="1"/>
        <v>0</v>
      </c>
      <c r="D21" s="280"/>
      <c r="E21" s="282">
        <f t="shared" si="2"/>
        <v>0</v>
      </c>
      <c r="F21" s="282">
        <f t="shared" si="3"/>
        <v>0</v>
      </c>
    </row>
    <row r="22" spans="1:6" ht="20.100000000000001" customHeight="1" x14ac:dyDescent="0.2">
      <c r="A22" s="268"/>
      <c r="B22" s="272">
        <f t="shared" si="0"/>
        <v>0</v>
      </c>
      <c r="C22" s="273">
        <f t="shared" si="1"/>
        <v>0</v>
      </c>
      <c r="D22" s="280"/>
      <c r="E22" s="282">
        <f t="shared" si="2"/>
        <v>0</v>
      </c>
      <c r="F22" s="282">
        <f t="shared" si="3"/>
        <v>0</v>
      </c>
    </row>
    <row r="23" spans="1:6" ht="20.100000000000001" customHeight="1" x14ac:dyDescent="0.2">
      <c r="A23" s="268"/>
      <c r="B23" s="272">
        <f t="shared" si="0"/>
        <v>0</v>
      </c>
      <c r="C23" s="273">
        <f t="shared" si="1"/>
        <v>0</v>
      </c>
      <c r="D23" s="280"/>
      <c r="E23" s="282">
        <f t="shared" si="2"/>
        <v>0</v>
      </c>
      <c r="F23" s="282">
        <f t="shared" si="3"/>
        <v>0</v>
      </c>
    </row>
    <row r="24" spans="1:6" ht="20.100000000000001" customHeight="1" x14ac:dyDescent="0.2">
      <c r="A24" s="268"/>
      <c r="B24" s="272">
        <f t="shared" si="0"/>
        <v>0</v>
      </c>
      <c r="C24" s="273">
        <f t="shared" si="1"/>
        <v>0</v>
      </c>
      <c r="D24" s="280"/>
      <c r="E24" s="282">
        <f t="shared" ca="1" si="2"/>
        <v>0</v>
      </c>
      <c r="F24" s="282">
        <f t="shared" ca="1" si="3"/>
        <v>0</v>
      </c>
    </row>
    <row r="25" spans="1:6" ht="20.100000000000001" customHeight="1" x14ac:dyDescent="0.2">
      <c r="A25" s="268"/>
      <c r="B25" s="272">
        <f t="shared" si="0"/>
        <v>0</v>
      </c>
      <c r="C25" s="273">
        <f t="shared" si="1"/>
        <v>0</v>
      </c>
      <c r="D25" s="280"/>
      <c r="E25" s="282">
        <f t="shared" si="2"/>
        <v>0</v>
      </c>
      <c r="F25" s="282">
        <f t="shared" si="3"/>
        <v>0</v>
      </c>
    </row>
    <row r="26" spans="1:6" ht="20.100000000000001" customHeight="1" x14ac:dyDescent="0.2">
      <c r="A26" s="268"/>
      <c r="B26" s="272">
        <f>IFERROR(VLOOKUP(A26,Tabla_Datos,2,FALSE),0)</f>
        <v>0</v>
      </c>
      <c r="C26" s="273">
        <f>IFERROR(VLOOKUP(A26,Tabla_Datos,3,FALSE),0)</f>
        <v>0</v>
      </c>
      <c r="D26" s="280"/>
      <c r="E26" s="282">
        <f>IFERROR(VLOOKUP(A26,Tabla_Comp_Presup,7,FALSE),0)</f>
        <v>0</v>
      </c>
      <c r="F26" s="282">
        <f t="shared" si="3"/>
        <v>0</v>
      </c>
    </row>
    <row r="27" spans="1:6" ht="20.100000000000001" customHeight="1" x14ac:dyDescent="0.2">
      <c r="A27" s="268"/>
      <c r="B27" s="272">
        <f t="shared" si="0"/>
        <v>0</v>
      </c>
      <c r="C27" s="273">
        <f t="shared" si="1"/>
        <v>0</v>
      </c>
      <c r="D27" s="280"/>
      <c r="E27" s="282">
        <f t="shared" si="2"/>
        <v>0</v>
      </c>
      <c r="F27" s="282">
        <f t="shared" si="3"/>
        <v>0</v>
      </c>
    </row>
    <row r="28" spans="1:6" ht="20.100000000000001" customHeight="1" x14ac:dyDescent="0.2">
      <c r="A28" s="268"/>
      <c r="B28" s="272">
        <f t="shared" si="0"/>
        <v>0</v>
      </c>
      <c r="C28" s="273">
        <f t="shared" si="1"/>
        <v>0</v>
      </c>
      <c r="D28" s="280"/>
      <c r="E28" s="282">
        <f t="shared" si="2"/>
        <v>0</v>
      </c>
      <c r="F28" s="282">
        <f t="shared" si="3"/>
        <v>0</v>
      </c>
    </row>
    <row r="29" spans="1:6" ht="20.100000000000001" customHeight="1" x14ac:dyDescent="0.2">
      <c r="A29" s="268"/>
      <c r="B29" s="272">
        <f t="shared" si="0"/>
        <v>0</v>
      </c>
      <c r="C29" s="273">
        <f t="shared" si="1"/>
        <v>0</v>
      </c>
      <c r="D29" s="280"/>
      <c r="E29" s="282">
        <f t="shared" si="2"/>
        <v>0</v>
      </c>
      <c r="F29" s="282">
        <f t="shared" si="3"/>
        <v>0</v>
      </c>
    </row>
    <row r="30" spans="1:6" ht="20.100000000000001" customHeight="1" x14ac:dyDescent="0.2">
      <c r="A30" s="268"/>
      <c r="B30" s="272">
        <f t="shared" si="0"/>
        <v>0</v>
      </c>
      <c r="C30" s="273">
        <f t="shared" si="1"/>
        <v>0</v>
      </c>
      <c r="D30" s="280"/>
      <c r="E30" s="282">
        <f t="shared" si="2"/>
        <v>0</v>
      </c>
      <c r="F30" s="282">
        <f t="shared" si="3"/>
        <v>0</v>
      </c>
    </row>
    <row r="31" spans="1:6" ht="20.100000000000001" customHeight="1" x14ac:dyDescent="0.2">
      <c r="A31" s="268"/>
      <c r="B31" s="272">
        <f t="shared" si="0"/>
        <v>0</v>
      </c>
      <c r="C31" s="273">
        <f t="shared" si="1"/>
        <v>0</v>
      </c>
      <c r="D31" s="280"/>
      <c r="E31" s="282">
        <f t="shared" si="2"/>
        <v>0</v>
      </c>
      <c r="F31" s="282">
        <f t="shared" si="3"/>
        <v>0</v>
      </c>
    </row>
    <row r="32" spans="1:6" ht="20.100000000000001" customHeight="1" x14ac:dyDescent="0.2">
      <c r="A32" s="268"/>
      <c r="B32" s="272">
        <f>IFERROR(VLOOKUP(A32,Tabla_Datos,2,FALSE),0)</f>
        <v>0</v>
      </c>
      <c r="C32" s="273">
        <f>IFERROR(VLOOKUP(A32,Tabla_Datos,3,FALSE),0)</f>
        <v>0</v>
      </c>
      <c r="D32" s="280"/>
      <c r="E32" s="282">
        <f>IFERROR(VLOOKUP(A32,Tabla_Comp_Presup,7,FALSE),0)</f>
        <v>0</v>
      </c>
      <c r="F32" s="282">
        <f t="shared" si="3"/>
        <v>0</v>
      </c>
    </row>
    <row r="33" spans="1:8" ht="20.100000000000001" customHeight="1" x14ac:dyDescent="0.2">
      <c r="A33" s="268"/>
      <c r="B33" s="272">
        <f t="shared" si="0"/>
        <v>0</v>
      </c>
      <c r="C33" s="273">
        <f t="shared" si="1"/>
        <v>0</v>
      </c>
      <c r="D33" s="280"/>
      <c r="E33" s="282">
        <f t="shared" si="2"/>
        <v>0</v>
      </c>
      <c r="F33" s="282">
        <f t="shared" si="3"/>
        <v>0</v>
      </c>
    </row>
    <row r="34" spans="1:8" ht="20.100000000000001" customHeight="1" x14ac:dyDescent="0.2">
      <c r="A34" s="268"/>
      <c r="B34" s="272">
        <f t="shared" si="0"/>
        <v>0</v>
      </c>
      <c r="C34" s="273">
        <f t="shared" si="1"/>
        <v>0</v>
      </c>
      <c r="D34" s="280"/>
      <c r="E34" s="282">
        <f t="shared" si="2"/>
        <v>0</v>
      </c>
      <c r="F34" s="282">
        <f t="shared" si="3"/>
        <v>0</v>
      </c>
    </row>
    <row r="35" spans="1:8" ht="20.100000000000001" customHeight="1" x14ac:dyDescent="0.2">
      <c r="A35" s="268"/>
      <c r="B35" s="272">
        <f t="shared" si="0"/>
        <v>0</v>
      </c>
      <c r="C35" s="273">
        <f t="shared" si="1"/>
        <v>0</v>
      </c>
      <c r="D35" s="280"/>
      <c r="E35" s="282">
        <f t="shared" si="2"/>
        <v>0</v>
      </c>
      <c r="F35" s="282">
        <f t="shared" si="3"/>
        <v>0</v>
      </c>
    </row>
    <row r="36" spans="1:8" ht="20.100000000000001" customHeight="1" x14ac:dyDescent="0.2">
      <c r="A36" s="268"/>
      <c r="B36" s="272">
        <f t="shared" si="0"/>
        <v>0</v>
      </c>
      <c r="C36" s="273">
        <f t="shared" si="1"/>
        <v>0</v>
      </c>
      <c r="D36" s="280"/>
      <c r="E36" s="282">
        <f t="shared" si="2"/>
        <v>0</v>
      </c>
      <c r="F36" s="282">
        <f t="shared" si="3"/>
        <v>0</v>
      </c>
    </row>
    <row r="37" spans="1:8" ht="20.100000000000001" customHeight="1" x14ac:dyDescent="0.2">
      <c r="A37" s="268"/>
      <c r="B37" s="272">
        <f t="shared" si="0"/>
        <v>0</v>
      </c>
      <c r="C37" s="273">
        <f t="shared" si="1"/>
        <v>0</v>
      </c>
      <c r="D37" s="280"/>
      <c r="E37" s="282">
        <f t="shared" si="2"/>
        <v>0</v>
      </c>
      <c r="F37" s="282">
        <f t="shared" si="3"/>
        <v>0</v>
      </c>
    </row>
    <row r="38" spans="1:8" ht="20.100000000000001" customHeight="1" x14ac:dyDescent="0.2">
      <c r="A38" s="268"/>
      <c r="B38" s="272">
        <f t="shared" si="0"/>
        <v>0</v>
      </c>
      <c r="C38" s="273">
        <f t="shared" si="1"/>
        <v>0</v>
      </c>
      <c r="D38" s="280"/>
      <c r="E38" s="282">
        <f t="shared" si="2"/>
        <v>0</v>
      </c>
      <c r="F38" s="282">
        <f t="shared" si="3"/>
        <v>0</v>
      </c>
      <c r="H38" s="454"/>
    </row>
    <row r="39" spans="1:8" ht="20.100000000000001" customHeight="1" x14ac:dyDescent="0.2">
      <c r="A39" s="268"/>
      <c r="B39" s="272">
        <f t="shared" si="0"/>
        <v>0</v>
      </c>
      <c r="C39" s="273">
        <f t="shared" si="1"/>
        <v>0</v>
      </c>
      <c r="D39" s="280"/>
      <c r="E39" s="282">
        <f t="shared" si="2"/>
        <v>0</v>
      </c>
      <c r="F39" s="282">
        <f t="shared" si="3"/>
        <v>0</v>
      </c>
    </row>
    <row r="40" spans="1:8" ht="20.100000000000001" customHeight="1" x14ac:dyDescent="0.2">
      <c r="A40" s="268"/>
      <c r="B40" s="272">
        <f t="shared" si="0"/>
        <v>0</v>
      </c>
      <c r="C40" s="273">
        <f t="shared" si="1"/>
        <v>0</v>
      </c>
      <c r="D40" s="280"/>
      <c r="E40" s="282">
        <f t="shared" si="2"/>
        <v>0</v>
      </c>
      <c r="F40" s="282">
        <f t="shared" si="3"/>
        <v>0</v>
      </c>
    </row>
    <row r="41" spans="1:8" ht="20.100000000000001" customHeight="1" x14ac:dyDescent="0.2">
      <c r="A41" s="268"/>
      <c r="B41" s="272">
        <f>IFERROR(VLOOKUP(A41,Tabla_Datos,2,FALSE),0)</f>
        <v>0</v>
      </c>
      <c r="C41" s="273">
        <f>IFERROR(VLOOKUP(A41,Tabla_Datos,3,FALSE),0)</f>
        <v>0</v>
      </c>
      <c r="D41" s="280"/>
      <c r="E41" s="282">
        <f>IFERROR(VLOOKUP(A41,Tabla_Comp_Presup,7,FALSE),0)</f>
        <v>0</v>
      </c>
      <c r="F41" s="282">
        <f t="shared" si="3"/>
        <v>0</v>
      </c>
    </row>
    <row r="42" spans="1:8" ht="20.100000000000001" customHeight="1" x14ac:dyDescent="0.2">
      <c r="A42" s="268"/>
      <c r="B42" s="272">
        <f t="shared" si="0"/>
        <v>0</v>
      </c>
      <c r="C42" s="273">
        <f t="shared" si="1"/>
        <v>0</v>
      </c>
      <c r="D42" s="280"/>
      <c r="E42" s="282">
        <f t="shared" si="2"/>
        <v>0</v>
      </c>
      <c r="F42" s="282">
        <f t="shared" si="3"/>
        <v>0</v>
      </c>
    </row>
    <row r="43" spans="1:8" ht="20.100000000000001" customHeight="1" x14ac:dyDescent="0.2">
      <c r="A43" s="268"/>
      <c r="B43" s="272">
        <f>IFERROR(VLOOKUP(A43,Tabla_Datos,2,FALSE),0)</f>
        <v>0</v>
      </c>
      <c r="C43" s="273">
        <f>IFERROR(VLOOKUP(A43,Tabla_Datos,3,FALSE),0)</f>
        <v>0</v>
      </c>
      <c r="D43" s="280"/>
      <c r="E43" s="282">
        <f>IFERROR(VLOOKUP(A43,Tabla_Comp_Presup,7,FALSE),0)</f>
        <v>0</v>
      </c>
      <c r="F43" s="282">
        <f t="shared" si="3"/>
        <v>0</v>
      </c>
    </row>
    <row r="44" spans="1:8" ht="20.100000000000001" customHeight="1" x14ac:dyDescent="0.2">
      <c r="A44" s="268"/>
      <c r="B44" s="272">
        <f t="shared" si="0"/>
        <v>0</v>
      </c>
      <c r="C44" s="273">
        <f t="shared" si="1"/>
        <v>0</v>
      </c>
      <c r="D44" s="280"/>
      <c r="E44" s="282">
        <f t="shared" si="2"/>
        <v>0</v>
      </c>
      <c r="F44" s="282">
        <f t="shared" si="3"/>
        <v>0</v>
      </c>
    </row>
    <row r="45" spans="1:8" ht="20.100000000000001" customHeight="1" x14ac:dyDescent="0.2">
      <c r="A45" s="268"/>
      <c r="B45" s="272">
        <f t="shared" si="0"/>
        <v>0</v>
      </c>
      <c r="C45" s="273">
        <f t="shared" si="1"/>
        <v>0</v>
      </c>
      <c r="D45" s="280"/>
      <c r="E45" s="282">
        <f t="shared" si="2"/>
        <v>0</v>
      </c>
      <c r="F45" s="282">
        <f t="shared" si="3"/>
        <v>0</v>
      </c>
    </row>
    <row r="46" spans="1:8" ht="20.100000000000001" customHeight="1" x14ac:dyDescent="0.2">
      <c r="A46" s="268"/>
      <c r="B46" s="272">
        <f t="shared" si="0"/>
        <v>0</v>
      </c>
      <c r="C46" s="273">
        <f t="shared" si="1"/>
        <v>0</v>
      </c>
      <c r="D46" s="280"/>
      <c r="E46" s="282">
        <f t="shared" si="2"/>
        <v>0</v>
      </c>
      <c r="F46" s="282">
        <f t="shared" si="3"/>
        <v>0</v>
      </c>
    </row>
    <row r="47" spans="1:8" ht="20.100000000000001" customHeight="1" x14ac:dyDescent="0.2">
      <c r="A47" s="268"/>
      <c r="B47" s="272">
        <f t="shared" si="0"/>
        <v>0</v>
      </c>
      <c r="C47" s="273">
        <f t="shared" si="1"/>
        <v>0</v>
      </c>
      <c r="D47" s="280"/>
      <c r="E47" s="282">
        <f t="shared" si="2"/>
        <v>0</v>
      </c>
      <c r="F47" s="282">
        <f t="shared" si="3"/>
        <v>0</v>
      </c>
    </row>
    <row r="48" spans="1:8" ht="20.100000000000001" customHeight="1" x14ac:dyDescent="0.2">
      <c r="A48" s="268"/>
      <c r="B48" s="272">
        <f t="shared" si="0"/>
        <v>0</v>
      </c>
      <c r="C48" s="273">
        <f t="shared" si="1"/>
        <v>0</v>
      </c>
      <c r="D48" s="280"/>
      <c r="E48" s="282">
        <f t="shared" si="2"/>
        <v>0</v>
      </c>
      <c r="F48" s="282">
        <f t="shared" si="3"/>
        <v>0</v>
      </c>
    </row>
    <row r="49" spans="1:6" ht="20.100000000000001" customHeight="1" x14ac:dyDescent="0.2">
      <c r="A49" s="268"/>
      <c r="B49" s="272">
        <f t="shared" si="0"/>
        <v>0</v>
      </c>
      <c r="C49" s="273">
        <f t="shared" si="1"/>
        <v>0</v>
      </c>
      <c r="D49" s="280"/>
      <c r="E49" s="282">
        <f t="shared" si="2"/>
        <v>0</v>
      </c>
      <c r="F49" s="282">
        <f t="shared" si="3"/>
        <v>0</v>
      </c>
    </row>
    <row r="50" spans="1:6" ht="20.100000000000001" customHeight="1" x14ac:dyDescent="0.2">
      <c r="A50" s="268"/>
      <c r="B50" s="272">
        <f t="shared" si="0"/>
        <v>0</v>
      </c>
      <c r="C50" s="273">
        <f t="shared" si="1"/>
        <v>0</v>
      </c>
      <c r="D50" s="280"/>
      <c r="E50" s="282">
        <f t="shared" si="2"/>
        <v>0</v>
      </c>
      <c r="F50" s="282">
        <f t="shared" si="3"/>
        <v>0</v>
      </c>
    </row>
    <row r="51" spans="1:6" ht="20.100000000000001" customHeight="1" x14ac:dyDescent="0.2">
      <c r="A51" s="268"/>
      <c r="B51" s="272">
        <f t="shared" si="0"/>
        <v>0</v>
      </c>
      <c r="C51" s="273">
        <f t="shared" si="1"/>
        <v>0</v>
      </c>
      <c r="D51" s="280"/>
      <c r="E51" s="282">
        <f t="shared" si="2"/>
        <v>0</v>
      </c>
      <c r="F51" s="282">
        <f t="shared" si="3"/>
        <v>0</v>
      </c>
    </row>
    <row r="52" spans="1:6" ht="20.100000000000001" customHeight="1" x14ac:dyDescent="0.2">
      <c r="A52" s="268"/>
      <c r="B52" s="272">
        <f t="shared" si="0"/>
        <v>0</v>
      </c>
      <c r="C52" s="273">
        <f t="shared" si="1"/>
        <v>0</v>
      </c>
      <c r="D52" s="280"/>
      <c r="E52" s="282">
        <f t="shared" si="2"/>
        <v>0</v>
      </c>
      <c r="F52" s="282">
        <f t="shared" si="3"/>
        <v>0</v>
      </c>
    </row>
    <row r="53" spans="1:6" ht="20.100000000000001" customHeight="1" x14ac:dyDescent="0.2">
      <c r="A53" s="268"/>
      <c r="B53" s="272">
        <f t="shared" si="0"/>
        <v>0</v>
      </c>
      <c r="C53" s="273">
        <f t="shared" si="1"/>
        <v>0</v>
      </c>
      <c r="D53" s="280"/>
      <c r="E53" s="282">
        <f t="shared" si="2"/>
        <v>0</v>
      </c>
      <c r="F53" s="282">
        <f t="shared" si="3"/>
        <v>0</v>
      </c>
    </row>
    <row r="54" spans="1:6" ht="20.100000000000001" customHeight="1" x14ac:dyDescent="0.2">
      <c r="A54" s="268"/>
      <c r="B54" s="272">
        <f t="shared" si="0"/>
        <v>0</v>
      </c>
      <c r="C54" s="273">
        <f t="shared" si="1"/>
        <v>0</v>
      </c>
      <c r="D54" s="280"/>
      <c r="E54" s="282">
        <f t="shared" si="2"/>
        <v>0</v>
      </c>
      <c r="F54" s="282">
        <f t="shared" si="3"/>
        <v>0</v>
      </c>
    </row>
    <row r="55" spans="1:6" ht="20.100000000000001" customHeight="1" x14ac:dyDescent="0.2">
      <c r="A55" s="268"/>
      <c r="B55" s="272">
        <f t="shared" si="0"/>
        <v>0</v>
      </c>
      <c r="C55" s="273">
        <f t="shared" si="1"/>
        <v>0</v>
      </c>
      <c r="D55" s="280"/>
      <c r="E55" s="282">
        <f t="shared" si="2"/>
        <v>0</v>
      </c>
      <c r="F55" s="282">
        <f t="shared" si="3"/>
        <v>0</v>
      </c>
    </row>
    <row r="56" spans="1:6" ht="20.100000000000001" customHeight="1" x14ac:dyDescent="0.2">
      <c r="A56" s="268"/>
      <c r="B56" s="272">
        <f>IFERROR(VLOOKUP(A56,Tabla_Datos,2,FALSE),0)</f>
        <v>0</v>
      </c>
      <c r="C56" s="273">
        <f>IFERROR(VLOOKUP(A56,Tabla_Datos,3,FALSE),0)</f>
        <v>0</v>
      </c>
      <c r="D56" s="280"/>
      <c r="E56" s="282">
        <f>IFERROR(VLOOKUP(A56,Tabla_Comp_Presup,7,FALSE),0)</f>
        <v>0</v>
      </c>
      <c r="F56" s="282">
        <f t="shared" si="3"/>
        <v>0</v>
      </c>
    </row>
    <row r="57" spans="1:6" ht="20.100000000000001" customHeight="1" x14ac:dyDescent="0.2">
      <c r="A57" s="268"/>
      <c r="B57" s="272"/>
      <c r="C57" s="273"/>
      <c r="D57" s="280"/>
      <c r="E57" s="282"/>
      <c r="F57" s="282"/>
    </row>
    <row r="58" spans="1:6" ht="20.100000000000001" customHeight="1" x14ac:dyDescent="0.2">
      <c r="A58" s="269"/>
      <c r="B58" s="272"/>
      <c r="C58" s="273"/>
      <c r="D58" s="280"/>
      <c r="E58" s="282"/>
      <c r="F58" s="282"/>
    </row>
    <row r="59" spans="1:6" ht="20.100000000000001" customHeight="1" x14ac:dyDescent="0.2">
      <c r="A59" s="235"/>
      <c r="B59" s="236"/>
      <c r="C59" s="237"/>
      <c r="D59" s="238"/>
      <c r="E59" s="239"/>
      <c r="F59" s="239"/>
    </row>
    <row r="60" spans="1:6" ht="20.100000000000001" customHeight="1" x14ac:dyDescent="0.2">
      <c r="A60" s="283" t="s">
        <v>1106</v>
      </c>
      <c r="B60" s="284" t="s">
        <v>1166</v>
      </c>
      <c r="C60" s="285"/>
      <c r="D60" s="286"/>
      <c r="E60" s="287"/>
      <c r="F60" s="288">
        <f ca="1">ROUND(F69/Coef_Paso_Vivienda,2)</f>
        <v>0</v>
      </c>
    </row>
    <row r="61" spans="1:6" s="107" customFormat="1" ht="20.100000000000001" customHeight="1" x14ac:dyDescent="0.2">
      <c r="A61" s="289" t="s">
        <v>1107</v>
      </c>
      <c r="B61" s="290" t="str">
        <f>"COSTO FINANCIERO  "&amp;ROUND(Costo_Financiero*100,2)&amp;" % de ( 1 )"</f>
        <v>COSTO FINANCIERO  0 % de ( 1 )</v>
      </c>
      <c r="C61" s="291">
        <f>Costo_Financiero</f>
        <v>0</v>
      </c>
      <c r="D61" s="292"/>
      <c r="E61" s="293">
        <f>Costo_Financiero</f>
        <v>0</v>
      </c>
      <c r="F61" s="294">
        <f ca="1">ROUND(F60*Costo_Financiero,2)</f>
        <v>0</v>
      </c>
    </row>
    <row r="62" spans="1:6" s="107" customFormat="1" ht="20.100000000000001" customHeight="1" x14ac:dyDescent="0.2">
      <c r="A62" s="289" t="s">
        <v>1108</v>
      </c>
      <c r="B62" s="290" t="s">
        <v>1162</v>
      </c>
      <c r="C62" s="291"/>
      <c r="D62" s="292"/>
      <c r="E62" s="295"/>
      <c r="F62" s="294">
        <f ca="1">F60+F61</f>
        <v>0</v>
      </c>
    </row>
    <row r="63" spans="1:6" s="107" customFormat="1" ht="20.100000000000001" customHeight="1" x14ac:dyDescent="0.2">
      <c r="A63" s="289" t="s">
        <v>1109</v>
      </c>
      <c r="B63" s="296" t="str">
        <f>CONCATENATE("GASTOS GENERALES  ",ROUND(Gastos_Generales*100,3)," % de ( 3 )")</f>
        <v>GASTOS GENERALES  0 % de ( 3 )</v>
      </c>
      <c r="C63" s="293">
        <f>Gastos_Generales</f>
        <v>0</v>
      </c>
      <c r="D63" s="297"/>
      <c r="E63" s="295"/>
      <c r="F63" s="294">
        <f ca="1">ROUND(F62*Gastos_Generales,2)</f>
        <v>0</v>
      </c>
    </row>
    <row r="64" spans="1:6" s="107" customFormat="1" ht="20.100000000000001" customHeight="1" x14ac:dyDescent="0.2">
      <c r="A64" s="289" t="s">
        <v>1110</v>
      </c>
      <c r="B64" s="296" t="str">
        <f>CONCATENATE("BENEFICIOS  ",ROUND(Beneficio*100,2)," % de ( 3 )")</f>
        <v>BENEFICIOS  0 % de ( 3 )</v>
      </c>
      <c r="C64" s="293">
        <f>Beneficio</f>
        <v>0</v>
      </c>
      <c r="D64" s="297"/>
      <c r="E64" s="295"/>
      <c r="F64" s="294">
        <f ca="1">ROUND(F62*Beneficio,2)</f>
        <v>0</v>
      </c>
    </row>
    <row r="65" spans="1:6" s="107" customFormat="1" ht="20.100000000000001" customHeight="1" x14ac:dyDescent="0.2">
      <c r="A65" s="289">
        <v>6</v>
      </c>
      <c r="B65" s="290" t="s">
        <v>1163</v>
      </c>
      <c r="C65" s="295"/>
      <c r="D65" s="297"/>
      <c r="E65" s="295"/>
      <c r="F65" s="294">
        <f ca="1">F62+F63+F64</f>
        <v>0</v>
      </c>
    </row>
    <row r="66" spans="1:6" ht="20.100000000000001" customHeight="1" x14ac:dyDescent="0.2">
      <c r="A66" s="289" t="s">
        <v>1164</v>
      </c>
      <c r="B66" s="296" t="str">
        <f>CONCATENATE("INGRESOS BRUTOS Y LOTE HOGAR  ",ROUND(Ingresos_Brutos*100,2)," % de ( 6 )")</f>
        <v>INGRESOS BRUTOS Y LOTE HOGAR  2,4 % de ( 6 )</v>
      </c>
      <c r="C66" s="293">
        <f>Ingresos_Brutos</f>
        <v>2.4E-2</v>
      </c>
      <c r="D66" s="297"/>
      <c r="E66" s="295"/>
      <c r="F66" s="294">
        <f ca="1">IF(Ingresos_Brutos=0,,ROUND(Ingresos_Brutos*F65,2))</f>
        <v>0</v>
      </c>
    </row>
    <row r="67" spans="1:6" ht="20.100000000000001" customHeight="1" x14ac:dyDescent="0.2">
      <c r="A67" s="298" t="s">
        <v>1165</v>
      </c>
      <c r="B67" s="299" t="str">
        <f>CONCATENATE("IMPUESTO AL VALOR AGREGADO ",IVA_Vivienda*100," % de ( 6 )")</f>
        <v>IMPUESTO AL VALOR AGREGADO 10,5 % de ( 6 )</v>
      </c>
      <c r="C67" s="300">
        <f>IVA_Vivienda</f>
        <v>0.105</v>
      </c>
      <c r="D67" s="301"/>
      <c r="E67" s="302"/>
      <c r="F67" s="303">
        <f ca="1">IF(IVA_Vivienda=0,,ROUND(IVA_Vivienda*F65,2))</f>
        <v>0</v>
      </c>
    </row>
    <row r="68" spans="1:6" ht="20.100000000000001" customHeight="1" x14ac:dyDescent="0.2">
      <c r="A68" s="100"/>
      <c r="B68" s="95"/>
      <c r="C68" s="95"/>
      <c r="D68" s="96"/>
      <c r="E68" s="97"/>
      <c r="F68" s="2"/>
    </row>
    <row r="69" spans="1:6" ht="20.100000000000001" customHeight="1" x14ac:dyDescent="0.2">
      <c r="A69" s="304"/>
      <c r="B69" s="305" t="str">
        <f>"PRECIO TOTAL VIVENDA"</f>
        <v>PRECIO TOTAL VIVENDA</v>
      </c>
      <c r="C69" s="305"/>
      <c r="D69" s="306"/>
      <c r="E69" s="307"/>
      <c r="F69" s="308">
        <f ca="1">SUM(F6:F58)</f>
        <v>0</v>
      </c>
    </row>
  </sheetData>
  <sheetProtection formatCells="0" selectLockedCells="1"/>
  <mergeCells count="7">
    <mergeCell ref="A1:F1"/>
    <mergeCell ref="A7:A8"/>
    <mergeCell ref="B7:B8"/>
    <mergeCell ref="C7:C8"/>
    <mergeCell ref="D7:D8"/>
    <mergeCell ref="E7:E8"/>
    <mergeCell ref="F7:F8"/>
  </mergeCells>
  <conditionalFormatting sqref="A43:B43 A26:B26 B10:B58 A11:A58">
    <cfRule type="expression" dxfId="156" priority="37">
      <formula>$C10=0</formula>
    </cfRule>
  </conditionalFormatting>
  <conditionalFormatting sqref="A10">
    <cfRule type="expression" dxfId="155" priority="35" stopIfTrue="1">
      <formula>$C10=0</formula>
    </cfRule>
  </conditionalFormatting>
  <conditionalFormatting sqref="F60">
    <cfRule type="expression" dxfId="154" priority="9" stopIfTrue="1">
      <formula>#REF!=1</formula>
    </cfRule>
  </conditionalFormatting>
  <conditionalFormatting sqref="B59">
    <cfRule type="expression" dxfId="153" priority="31" stopIfTrue="1">
      <formula>$C59=0</formula>
    </cfRule>
  </conditionalFormatting>
  <conditionalFormatting sqref="A59">
    <cfRule type="expression" dxfId="152" priority="30" stopIfTrue="1">
      <formula>$C59=0</formula>
    </cfRule>
  </conditionalFormatting>
  <conditionalFormatting sqref="A11:A54">
    <cfRule type="expression" dxfId="151" priority="6" stopIfTrue="1">
      <formula>$C11=0</formula>
    </cfRule>
  </conditionalFormatting>
  <conditionalFormatting sqref="A40:A41">
    <cfRule type="expression" dxfId="150" priority="3">
      <formula>$C40=0</formula>
    </cfRule>
  </conditionalFormatting>
  <conditionalFormatting sqref="A40:A41">
    <cfRule type="expression" dxfId="149" priority="2" stopIfTrue="1">
      <formula>$C40=0</formula>
    </cfRule>
  </conditionalFormatting>
  <conditionalFormatting sqref="A40:A41">
    <cfRule type="expression" dxfId="148" priority="1" stopIfTrue="1">
      <formula>$C40=0</formula>
    </cfRule>
  </conditionalFormatting>
  <pageMargins left="1.1811023622047245" right="0.78740157480314965" top="0.98425196850393704" bottom="0.78740157480314965" header="0.39370078740157483" footer="0.39370078740157483"/>
  <pageSetup paperSize="9" scale="25"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58"/>
  <sheetViews>
    <sheetView workbookViewId="0">
      <selection activeCell="D11" sqref="D11:D47"/>
    </sheetView>
  </sheetViews>
  <sheetFormatPr baseColWidth="10" defaultRowHeight="12.75" x14ac:dyDescent="0.2"/>
  <cols>
    <col min="1" max="1" width="18.42578125" customWidth="1"/>
    <col min="2" max="2" width="82" customWidth="1"/>
    <col min="3" max="3" width="13.7109375" customWidth="1"/>
    <col min="4" max="4" width="13.42578125" customWidth="1"/>
    <col min="5" max="5" width="17" customWidth="1"/>
    <col min="6" max="6" width="16.140625" customWidth="1"/>
    <col min="7" max="7" width="11.42578125" customWidth="1"/>
    <col min="15" max="15" width="52.5703125" customWidth="1"/>
  </cols>
  <sheetData>
    <row r="1" spans="1:6" ht="20.100000000000001" customHeight="1" x14ac:dyDescent="0.2">
      <c r="A1" s="611" t="s">
        <v>1294</v>
      </c>
      <c r="B1" s="611"/>
      <c r="C1" s="611"/>
      <c r="D1" s="611"/>
      <c r="E1" s="611"/>
      <c r="F1" s="611"/>
    </row>
    <row r="2" spans="1:6" ht="20.100000000000001" customHeight="1" x14ac:dyDescent="0.2">
      <c r="A2" s="109" t="s">
        <v>1235</v>
      </c>
      <c r="B2" s="108" t="str">
        <f>Obra</f>
        <v>BARRIO JOSÉ AMÉRICO GRIMALT - SECTOR B</v>
      </c>
      <c r="C2" s="185"/>
      <c r="D2" s="110"/>
      <c r="E2" s="110"/>
      <c r="F2" s="110"/>
    </row>
    <row r="3" spans="1:6" ht="20.100000000000001" customHeight="1" x14ac:dyDescent="0.2">
      <c r="A3" s="109" t="s">
        <v>1238</v>
      </c>
      <c r="B3" s="108" t="str">
        <f>Ubicación</f>
        <v>DEPTO. ULLÚM</v>
      </c>
      <c r="C3" s="110"/>
      <c r="D3" s="110"/>
      <c r="E3" s="110"/>
      <c r="F3" s="110"/>
    </row>
    <row r="4" spans="1:6" ht="20.100000000000001" customHeight="1" x14ac:dyDescent="0.2">
      <c r="A4" s="109" t="s">
        <v>1128</v>
      </c>
      <c r="B4" s="116" t="s">
        <v>1293</v>
      </c>
      <c r="C4" s="109"/>
      <c r="D4" s="110"/>
      <c r="E4" s="110"/>
      <c r="F4" s="110"/>
    </row>
    <row r="5" spans="1:6" ht="20.100000000000001" customHeight="1" x14ac:dyDescent="0.2">
      <c r="A5" s="109" t="s">
        <v>1159</v>
      </c>
      <c r="B5" s="448"/>
      <c r="C5" s="109"/>
      <c r="D5" s="110"/>
      <c r="E5" s="110"/>
      <c r="F5" s="110"/>
    </row>
    <row r="6" spans="1:6" ht="20.100000000000001" customHeight="1" x14ac:dyDescent="0.2">
      <c r="A6" s="165"/>
      <c r="B6" s="447"/>
      <c r="C6" s="165"/>
      <c r="D6" s="165"/>
      <c r="E6" s="165"/>
      <c r="F6" s="165"/>
    </row>
    <row r="7" spans="1:6" ht="20.100000000000001" customHeight="1" x14ac:dyDescent="0.2">
      <c r="A7" s="612" t="s">
        <v>1105</v>
      </c>
      <c r="B7" s="614" t="s">
        <v>0</v>
      </c>
      <c r="C7" s="612" t="s">
        <v>1</v>
      </c>
      <c r="D7" s="612" t="s">
        <v>2</v>
      </c>
      <c r="E7" s="612" t="s">
        <v>1151</v>
      </c>
      <c r="F7" s="612" t="s">
        <v>1161</v>
      </c>
    </row>
    <row r="8" spans="1:6" ht="20.100000000000001" customHeight="1" x14ac:dyDescent="0.2">
      <c r="A8" s="613"/>
      <c r="B8" s="615"/>
      <c r="C8" s="613"/>
      <c r="D8" s="613"/>
      <c r="E8" s="613"/>
      <c r="F8" s="613"/>
    </row>
    <row r="9" spans="1:6" ht="20.100000000000001" customHeight="1" x14ac:dyDescent="0.2">
      <c r="A9" s="240"/>
      <c r="B9" s="423"/>
      <c r="C9" s="174"/>
      <c r="D9" s="174"/>
      <c r="E9" s="242"/>
      <c r="F9" s="243"/>
    </row>
    <row r="10" spans="1:6" ht="20.100000000000001" customHeight="1" x14ac:dyDescent="0.2">
      <c r="A10" s="274" t="s">
        <v>1125</v>
      </c>
      <c r="B10" s="275" t="str">
        <f t="shared" ref="B10:B43" si="0">IFERROR(VLOOKUP(A10,Tabla_Datos,2,FALSE),0)</f>
        <v>VIVIENDA</v>
      </c>
      <c r="C10" s="276">
        <f t="shared" ref="C10:C43" si="1">IFERROR(VLOOKUP(A10,Tabla_Datos,3,FALSE),0)</f>
        <v>0</v>
      </c>
      <c r="D10" s="277"/>
      <c r="E10" s="278">
        <f t="shared" ref="E10:E43" si="2">IFERROR(VLOOKUP(A10,Tabla_Comp_Presup,7,FALSE),0)</f>
        <v>0</v>
      </c>
      <c r="F10" s="278">
        <f t="shared" ref="F10:F43" si="3">ROUND(D10*E10,15)</f>
        <v>0</v>
      </c>
    </row>
    <row r="11" spans="1:6" ht="20.100000000000001" customHeight="1" x14ac:dyDescent="0.2">
      <c r="A11" s="268"/>
      <c r="B11" s="270">
        <f t="shared" si="0"/>
        <v>0</v>
      </c>
      <c r="C11" s="271">
        <f t="shared" si="1"/>
        <v>0</v>
      </c>
      <c r="D11" s="279"/>
      <c r="E11" s="281">
        <f>IFERROR(VLOOKUP(A11,Tabla_Comp_Presup,7,FALSE),0)</f>
        <v>0</v>
      </c>
      <c r="F11" s="281">
        <f>ROUND(D11*E11,15)</f>
        <v>0</v>
      </c>
    </row>
    <row r="12" spans="1:6" ht="20.100000000000001" customHeight="1" x14ac:dyDescent="0.2">
      <c r="A12" s="268"/>
      <c r="B12" s="270">
        <f t="shared" si="0"/>
        <v>0</v>
      </c>
      <c r="C12" s="271">
        <f t="shared" si="1"/>
        <v>0</v>
      </c>
      <c r="D12" s="279"/>
      <c r="E12" s="281">
        <f t="shared" si="2"/>
        <v>0</v>
      </c>
      <c r="F12" s="281">
        <f t="shared" si="3"/>
        <v>0</v>
      </c>
    </row>
    <row r="13" spans="1:6" ht="20.100000000000001" customHeight="1" x14ac:dyDescent="0.2">
      <c r="A13" s="268"/>
      <c r="B13" s="270">
        <f t="shared" si="0"/>
        <v>0</v>
      </c>
      <c r="C13" s="271">
        <f t="shared" si="1"/>
        <v>0</v>
      </c>
      <c r="D13" s="279"/>
      <c r="E13" s="281">
        <f t="shared" si="2"/>
        <v>0</v>
      </c>
      <c r="F13" s="281">
        <f t="shared" si="3"/>
        <v>0</v>
      </c>
    </row>
    <row r="14" spans="1:6" ht="20.100000000000001" customHeight="1" x14ac:dyDescent="0.2">
      <c r="A14" s="268"/>
      <c r="B14" s="270">
        <f t="shared" si="0"/>
        <v>0</v>
      </c>
      <c r="C14" s="271">
        <f t="shared" si="1"/>
        <v>0</v>
      </c>
      <c r="D14" s="279"/>
      <c r="E14" s="281">
        <f t="shared" si="2"/>
        <v>0</v>
      </c>
      <c r="F14" s="281">
        <f t="shared" si="3"/>
        <v>0</v>
      </c>
    </row>
    <row r="15" spans="1:6" ht="20.100000000000001" customHeight="1" x14ac:dyDescent="0.2">
      <c r="A15" s="268"/>
      <c r="B15" s="270">
        <f t="shared" si="0"/>
        <v>0</v>
      </c>
      <c r="C15" s="271">
        <f t="shared" si="1"/>
        <v>0</v>
      </c>
      <c r="D15" s="279"/>
      <c r="E15" s="281">
        <f t="shared" si="2"/>
        <v>0</v>
      </c>
      <c r="F15" s="281">
        <f t="shared" si="3"/>
        <v>0</v>
      </c>
    </row>
    <row r="16" spans="1:6" ht="20.100000000000001" customHeight="1" x14ac:dyDescent="0.2">
      <c r="A16" s="268"/>
      <c r="B16" s="270">
        <f t="shared" si="0"/>
        <v>0</v>
      </c>
      <c r="C16" s="271">
        <f t="shared" si="1"/>
        <v>0</v>
      </c>
      <c r="D16" s="279"/>
      <c r="E16" s="281">
        <f t="shared" si="2"/>
        <v>0</v>
      </c>
      <c r="F16" s="281">
        <f t="shared" si="3"/>
        <v>0</v>
      </c>
    </row>
    <row r="17" spans="1:6" ht="20.100000000000001" customHeight="1" x14ac:dyDescent="0.2">
      <c r="A17" s="268"/>
      <c r="B17" s="270">
        <f t="shared" si="0"/>
        <v>0</v>
      </c>
      <c r="C17" s="271">
        <f t="shared" si="1"/>
        <v>0</v>
      </c>
      <c r="D17" s="279"/>
      <c r="E17" s="281">
        <f t="shared" si="2"/>
        <v>0</v>
      </c>
      <c r="F17" s="281">
        <f t="shared" si="3"/>
        <v>0</v>
      </c>
    </row>
    <row r="18" spans="1:6" ht="20.100000000000001" customHeight="1" x14ac:dyDescent="0.2">
      <c r="A18" s="268"/>
      <c r="B18" s="270">
        <f t="shared" si="0"/>
        <v>0</v>
      </c>
      <c r="C18" s="271">
        <f t="shared" si="1"/>
        <v>0</v>
      </c>
      <c r="D18" s="279"/>
      <c r="E18" s="281">
        <f t="shared" si="2"/>
        <v>0</v>
      </c>
      <c r="F18" s="281">
        <f t="shared" si="3"/>
        <v>0</v>
      </c>
    </row>
    <row r="19" spans="1:6" ht="20.100000000000001" customHeight="1" x14ac:dyDescent="0.2">
      <c r="A19" s="268"/>
      <c r="B19" s="270">
        <f t="shared" si="0"/>
        <v>0</v>
      </c>
      <c r="C19" s="271">
        <f t="shared" si="1"/>
        <v>0</v>
      </c>
      <c r="D19" s="279"/>
      <c r="E19" s="281">
        <f t="shared" si="2"/>
        <v>0</v>
      </c>
      <c r="F19" s="281">
        <f t="shared" si="3"/>
        <v>0</v>
      </c>
    </row>
    <row r="20" spans="1:6" ht="20.100000000000001" customHeight="1" x14ac:dyDescent="0.2">
      <c r="A20" s="268"/>
      <c r="B20" s="270">
        <f t="shared" si="0"/>
        <v>0</v>
      </c>
      <c r="C20" s="271">
        <f t="shared" si="1"/>
        <v>0</v>
      </c>
      <c r="D20" s="279"/>
      <c r="E20" s="281">
        <f t="shared" si="2"/>
        <v>0</v>
      </c>
      <c r="F20" s="281">
        <f t="shared" si="3"/>
        <v>0</v>
      </c>
    </row>
    <row r="21" spans="1:6" ht="20.100000000000001" customHeight="1" x14ac:dyDescent="0.2">
      <c r="A21" s="268"/>
      <c r="B21" s="270">
        <f t="shared" si="0"/>
        <v>0</v>
      </c>
      <c r="C21" s="271">
        <f t="shared" si="1"/>
        <v>0</v>
      </c>
      <c r="D21" s="279"/>
      <c r="E21" s="281">
        <f t="shared" si="2"/>
        <v>0</v>
      </c>
      <c r="F21" s="281">
        <f t="shared" si="3"/>
        <v>0</v>
      </c>
    </row>
    <row r="22" spans="1:6" ht="20.100000000000001" customHeight="1" x14ac:dyDescent="0.2">
      <c r="A22" s="268"/>
      <c r="B22" s="270">
        <f t="shared" si="0"/>
        <v>0</v>
      </c>
      <c r="C22" s="271">
        <f t="shared" si="1"/>
        <v>0</v>
      </c>
      <c r="D22" s="279"/>
      <c r="E22" s="281">
        <f t="shared" si="2"/>
        <v>0</v>
      </c>
      <c r="F22" s="281">
        <f t="shared" si="3"/>
        <v>0</v>
      </c>
    </row>
    <row r="23" spans="1:6" ht="20.100000000000001" customHeight="1" x14ac:dyDescent="0.2">
      <c r="A23" s="268"/>
      <c r="B23" s="270">
        <f t="shared" si="0"/>
        <v>0</v>
      </c>
      <c r="C23" s="271">
        <f t="shared" si="1"/>
        <v>0</v>
      </c>
      <c r="D23" s="279"/>
      <c r="E23" s="281">
        <f t="shared" si="2"/>
        <v>0</v>
      </c>
      <c r="F23" s="281">
        <f t="shared" si="3"/>
        <v>0</v>
      </c>
    </row>
    <row r="24" spans="1:6" ht="20.100000000000001" customHeight="1" x14ac:dyDescent="0.2">
      <c r="A24" s="268"/>
      <c r="B24" s="270">
        <f t="shared" si="0"/>
        <v>0</v>
      </c>
      <c r="C24" s="271">
        <f t="shared" si="1"/>
        <v>0</v>
      </c>
      <c r="D24" s="279"/>
      <c r="E24" s="281">
        <f t="shared" si="2"/>
        <v>0</v>
      </c>
      <c r="F24" s="281">
        <f t="shared" si="3"/>
        <v>0</v>
      </c>
    </row>
    <row r="25" spans="1:6" ht="20.100000000000001" customHeight="1" x14ac:dyDescent="0.2">
      <c r="A25" s="268"/>
      <c r="B25" s="270">
        <f t="shared" si="0"/>
        <v>0</v>
      </c>
      <c r="C25" s="271">
        <f t="shared" si="1"/>
        <v>0</v>
      </c>
      <c r="D25" s="279"/>
      <c r="E25" s="281">
        <f t="shared" si="2"/>
        <v>0</v>
      </c>
      <c r="F25" s="281">
        <f t="shared" si="3"/>
        <v>0</v>
      </c>
    </row>
    <row r="26" spans="1:6" ht="20.100000000000001" customHeight="1" x14ac:dyDescent="0.2">
      <c r="A26" s="268"/>
      <c r="B26" s="270">
        <f t="shared" si="0"/>
        <v>0</v>
      </c>
      <c r="C26" s="271">
        <f t="shared" si="1"/>
        <v>0</v>
      </c>
      <c r="D26" s="279"/>
      <c r="E26" s="281">
        <f t="shared" si="2"/>
        <v>0</v>
      </c>
      <c r="F26" s="281">
        <f t="shared" si="3"/>
        <v>0</v>
      </c>
    </row>
    <row r="27" spans="1:6" ht="20.100000000000001" customHeight="1" x14ac:dyDescent="0.2">
      <c r="A27" s="268"/>
      <c r="B27" s="270">
        <f t="shared" si="0"/>
        <v>0</v>
      </c>
      <c r="C27" s="271">
        <f t="shared" si="1"/>
        <v>0</v>
      </c>
      <c r="D27" s="279"/>
      <c r="E27" s="281">
        <f t="shared" si="2"/>
        <v>0</v>
      </c>
      <c r="F27" s="281">
        <f t="shared" si="3"/>
        <v>0</v>
      </c>
    </row>
    <row r="28" spans="1:6" ht="20.100000000000001" customHeight="1" x14ac:dyDescent="0.2">
      <c r="A28" s="268"/>
      <c r="B28" s="270">
        <f t="shared" si="0"/>
        <v>0</v>
      </c>
      <c r="C28" s="271">
        <f t="shared" si="1"/>
        <v>0</v>
      </c>
      <c r="D28" s="279"/>
      <c r="E28" s="281">
        <f t="shared" si="2"/>
        <v>0</v>
      </c>
      <c r="F28" s="281">
        <f t="shared" si="3"/>
        <v>0</v>
      </c>
    </row>
    <row r="29" spans="1:6" ht="20.100000000000001" customHeight="1" x14ac:dyDescent="0.2">
      <c r="A29" s="268"/>
      <c r="B29" s="270">
        <f>IFERROR(VLOOKUP(A29,Tabla_Datos,2,FALSE),0)</f>
        <v>0</v>
      </c>
      <c r="C29" s="271">
        <f>IFERROR(VLOOKUP(A29,Tabla_Datos,3,FALSE),0)</f>
        <v>0</v>
      </c>
      <c r="D29" s="279"/>
      <c r="E29" s="281">
        <f>IFERROR(VLOOKUP(A29,Tabla_Comp_Presup,7,FALSE),0)</f>
        <v>0</v>
      </c>
      <c r="F29" s="281">
        <f>ROUND(D29*E29,15)</f>
        <v>0</v>
      </c>
    </row>
    <row r="30" spans="1:6" ht="19.5" customHeight="1" x14ac:dyDescent="0.2">
      <c r="A30" s="268"/>
      <c r="B30" s="270">
        <f t="shared" si="0"/>
        <v>0</v>
      </c>
      <c r="C30" s="271">
        <f t="shared" si="1"/>
        <v>0</v>
      </c>
      <c r="D30" s="279"/>
      <c r="E30" s="281">
        <f t="shared" si="2"/>
        <v>0</v>
      </c>
      <c r="F30" s="281">
        <f t="shared" si="3"/>
        <v>0</v>
      </c>
    </row>
    <row r="31" spans="1:6" ht="19.5" customHeight="1" x14ac:dyDescent="0.2">
      <c r="A31" s="268"/>
      <c r="B31" s="270">
        <f>IFERROR(VLOOKUP(A31,Tabla_Datos,2,FALSE),0)</f>
        <v>0</v>
      </c>
      <c r="C31" s="271">
        <f>IFERROR(VLOOKUP(A31,Tabla_Datos,3,FALSE),0)</f>
        <v>0</v>
      </c>
      <c r="D31" s="279"/>
      <c r="E31" s="281">
        <f>IFERROR(VLOOKUP(A31,Tabla_Comp_Presup,7,FALSE),0)</f>
        <v>0</v>
      </c>
      <c r="F31" s="281">
        <f>ROUND(D31*E31,15)</f>
        <v>0</v>
      </c>
    </row>
    <row r="32" spans="1:6" ht="20.100000000000001" customHeight="1" x14ac:dyDescent="0.2">
      <c r="A32" s="268"/>
      <c r="B32" s="270">
        <f t="shared" si="0"/>
        <v>0</v>
      </c>
      <c r="C32" s="271">
        <f t="shared" si="1"/>
        <v>0</v>
      </c>
      <c r="D32" s="279"/>
      <c r="E32" s="281">
        <f t="shared" si="2"/>
        <v>0</v>
      </c>
      <c r="F32" s="281">
        <f t="shared" si="3"/>
        <v>0</v>
      </c>
    </row>
    <row r="33" spans="1:6" ht="20.100000000000001" customHeight="1" x14ac:dyDescent="0.2">
      <c r="A33" s="268"/>
      <c r="B33" s="270">
        <f t="shared" si="0"/>
        <v>0</v>
      </c>
      <c r="C33" s="271">
        <f t="shared" si="1"/>
        <v>0</v>
      </c>
      <c r="D33" s="279"/>
      <c r="E33" s="281">
        <f t="shared" si="2"/>
        <v>0</v>
      </c>
      <c r="F33" s="281">
        <f t="shared" si="3"/>
        <v>0</v>
      </c>
    </row>
    <row r="34" spans="1:6" ht="20.100000000000001" customHeight="1" x14ac:dyDescent="0.2">
      <c r="A34" s="268"/>
      <c r="B34" s="270">
        <f t="shared" si="0"/>
        <v>0</v>
      </c>
      <c r="C34" s="271">
        <f t="shared" si="1"/>
        <v>0</v>
      </c>
      <c r="D34" s="279"/>
      <c r="E34" s="281">
        <f t="shared" si="2"/>
        <v>0</v>
      </c>
      <c r="F34" s="281">
        <f t="shared" si="3"/>
        <v>0</v>
      </c>
    </row>
    <row r="35" spans="1:6" ht="20.100000000000001" customHeight="1" x14ac:dyDescent="0.2">
      <c r="A35" s="268"/>
      <c r="B35" s="270">
        <f t="shared" si="0"/>
        <v>0</v>
      </c>
      <c r="C35" s="271">
        <f t="shared" si="1"/>
        <v>0</v>
      </c>
      <c r="D35" s="279"/>
      <c r="E35" s="281">
        <f t="shared" si="2"/>
        <v>0</v>
      </c>
      <c r="F35" s="281">
        <f t="shared" si="3"/>
        <v>0</v>
      </c>
    </row>
    <row r="36" spans="1:6" ht="20.100000000000001" customHeight="1" x14ac:dyDescent="0.2">
      <c r="A36" s="268"/>
      <c r="B36" s="270">
        <f t="shared" si="0"/>
        <v>0</v>
      </c>
      <c r="C36" s="271">
        <f t="shared" si="1"/>
        <v>0</v>
      </c>
      <c r="D36" s="279"/>
      <c r="E36" s="281">
        <f t="shared" si="2"/>
        <v>0</v>
      </c>
      <c r="F36" s="281">
        <f t="shared" si="3"/>
        <v>0</v>
      </c>
    </row>
    <row r="37" spans="1:6" ht="20.100000000000001" customHeight="1" x14ac:dyDescent="0.2">
      <c r="A37" s="268"/>
      <c r="B37" s="270">
        <f t="shared" si="0"/>
        <v>0</v>
      </c>
      <c r="C37" s="271">
        <f t="shared" si="1"/>
        <v>0</v>
      </c>
      <c r="D37" s="279"/>
      <c r="E37" s="281">
        <f t="shared" si="2"/>
        <v>0</v>
      </c>
      <c r="F37" s="281">
        <f t="shared" si="3"/>
        <v>0</v>
      </c>
    </row>
    <row r="38" spans="1:6" ht="20.100000000000001" customHeight="1" x14ac:dyDescent="0.2">
      <c r="A38" s="268"/>
      <c r="B38" s="270">
        <f t="shared" si="0"/>
        <v>0</v>
      </c>
      <c r="C38" s="271">
        <f t="shared" si="1"/>
        <v>0</v>
      </c>
      <c r="D38" s="279"/>
      <c r="E38" s="281">
        <f t="shared" si="2"/>
        <v>0</v>
      </c>
      <c r="F38" s="281">
        <f t="shared" si="3"/>
        <v>0</v>
      </c>
    </row>
    <row r="39" spans="1:6" ht="20.100000000000001" customHeight="1" x14ac:dyDescent="0.2">
      <c r="A39" s="268"/>
      <c r="B39" s="270">
        <f t="shared" si="0"/>
        <v>0</v>
      </c>
      <c r="C39" s="271">
        <f t="shared" si="1"/>
        <v>0</v>
      </c>
      <c r="D39" s="279"/>
      <c r="E39" s="281">
        <f t="shared" si="2"/>
        <v>0</v>
      </c>
      <c r="F39" s="281">
        <f t="shared" si="3"/>
        <v>0</v>
      </c>
    </row>
    <row r="40" spans="1:6" ht="20.100000000000001" customHeight="1" x14ac:dyDescent="0.2">
      <c r="A40" s="268"/>
      <c r="B40" s="270">
        <f t="shared" si="0"/>
        <v>0</v>
      </c>
      <c r="C40" s="271">
        <f t="shared" si="1"/>
        <v>0</v>
      </c>
      <c r="D40" s="279"/>
      <c r="E40" s="281">
        <f t="shared" si="2"/>
        <v>0</v>
      </c>
      <c r="F40" s="281">
        <f t="shared" si="3"/>
        <v>0</v>
      </c>
    </row>
    <row r="41" spans="1:6" ht="20.100000000000001" customHeight="1" x14ac:dyDescent="0.2">
      <c r="A41" s="268"/>
      <c r="B41" s="270">
        <f t="shared" si="0"/>
        <v>0</v>
      </c>
      <c r="C41" s="271">
        <f t="shared" si="1"/>
        <v>0</v>
      </c>
      <c r="D41" s="279"/>
      <c r="E41" s="281">
        <f t="shared" si="2"/>
        <v>0</v>
      </c>
      <c r="F41" s="281">
        <f t="shared" si="3"/>
        <v>0</v>
      </c>
    </row>
    <row r="42" spans="1:6" ht="20.100000000000001" customHeight="1" x14ac:dyDescent="0.2">
      <c r="A42" s="268"/>
      <c r="B42" s="270">
        <f t="shared" si="0"/>
        <v>0</v>
      </c>
      <c r="C42" s="271">
        <f t="shared" si="1"/>
        <v>0</v>
      </c>
      <c r="D42" s="279"/>
      <c r="E42" s="281">
        <f t="shared" si="2"/>
        <v>0</v>
      </c>
      <c r="F42" s="281">
        <f t="shared" si="3"/>
        <v>0</v>
      </c>
    </row>
    <row r="43" spans="1:6" ht="20.100000000000001" customHeight="1" x14ac:dyDescent="0.2">
      <c r="A43" s="268"/>
      <c r="B43" s="270">
        <f t="shared" si="0"/>
        <v>0</v>
      </c>
      <c r="C43" s="271">
        <f t="shared" si="1"/>
        <v>0</v>
      </c>
      <c r="D43" s="279"/>
      <c r="E43" s="281">
        <f t="shared" si="2"/>
        <v>0</v>
      </c>
      <c r="F43" s="281">
        <f t="shared" si="3"/>
        <v>0</v>
      </c>
    </row>
    <row r="44" spans="1:6" ht="20.100000000000001" customHeight="1" x14ac:dyDescent="0.2">
      <c r="A44" s="268"/>
      <c r="B44" s="270">
        <f>IFERROR(VLOOKUP(A44,Tabla_Datos,2,FALSE),0)</f>
        <v>0</v>
      </c>
      <c r="C44" s="271">
        <f>IFERROR(VLOOKUP(A44,Tabla_Datos,3,FALSE),0)</f>
        <v>0</v>
      </c>
      <c r="D44" s="279"/>
      <c r="E44" s="281">
        <f>IFERROR(VLOOKUP(A44,Tabla_Comp_Presup,7,FALSE),0)</f>
        <v>0</v>
      </c>
      <c r="F44" s="281">
        <f>ROUND(D44*E44,15)</f>
        <v>0</v>
      </c>
    </row>
    <row r="45" spans="1:6" ht="20.100000000000001" customHeight="1" x14ac:dyDescent="0.2">
      <c r="A45" s="268"/>
      <c r="B45" s="270">
        <f>IFERROR(VLOOKUP(A45,Tabla_Datos,2,FALSE),0)</f>
        <v>0</v>
      </c>
      <c r="C45" s="271">
        <f>IFERROR(VLOOKUP(A45,Tabla_Datos,3,FALSE),0)</f>
        <v>0</v>
      </c>
      <c r="D45" s="279"/>
      <c r="E45" s="281">
        <f>IFERROR(VLOOKUP(A45,Tabla_Comp_Presup,7,FALSE),0)</f>
        <v>0</v>
      </c>
      <c r="F45" s="281">
        <f>ROUND(D45*E45,15)</f>
        <v>0</v>
      </c>
    </row>
    <row r="46" spans="1:6" ht="20.100000000000001" customHeight="1" x14ac:dyDescent="0.2">
      <c r="A46" s="268"/>
      <c r="B46" s="270">
        <f>IFERROR(VLOOKUP(A46,Tabla_Datos,2,FALSE),0)</f>
        <v>0</v>
      </c>
      <c r="C46" s="271">
        <f>IFERROR(VLOOKUP(A46,Tabla_Datos,3,FALSE),0)</f>
        <v>0</v>
      </c>
      <c r="D46" s="279"/>
      <c r="E46" s="281">
        <f>IFERROR(VLOOKUP(A46,Tabla_Comp_Presup,7,FALSE),0)</f>
        <v>0</v>
      </c>
      <c r="F46" s="281">
        <f>ROUND(D46*E46,15)</f>
        <v>0</v>
      </c>
    </row>
    <row r="47" spans="1:6" ht="20.100000000000001" customHeight="1" x14ac:dyDescent="0.2">
      <c r="A47" s="268"/>
      <c r="B47" s="270"/>
      <c r="C47" s="271"/>
      <c r="D47" s="279"/>
      <c r="E47" s="281"/>
      <c r="F47" s="281"/>
    </row>
    <row r="48" spans="1:6" ht="20.100000000000001" customHeight="1" x14ac:dyDescent="0.2">
      <c r="A48" s="235"/>
      <c r="B48" s="236"/>
      <c r="C48" s="237"/>
      <c r="D48" s="238"/>
      <c r="E48" s="239"/>
      <c r="F48" s="239"/>
    </row>
    <row r="49" spans="1:6" ht="20.100000000000001" customHeight="1" x14ac:dyDescent="0.2">
      <c r="A49" s="283" t="s">
        <v>1106</v>
      </c>
      <c r="B49" s="284" t="s">
        <v>1166</v>
      </c>
      <c r="C49" s="285"/>
      <c r="D49" s="286"/>
      <c r="E49" s="287"/>
      <c r="F49" s="288">
        <f>ROUND(F58/Coef_Paso_Vivienda,2)</f>
        <v>0</v>
      </c>
    </row>
    <row r="50" spans="1:6" ht="20.100000000000001" customHeight="1" x14ac:dyDescent="0.2">
      <c r="A50" s="289" t="s">
        <v>1107</v>
      </c>
      <c r="B50" s="290" t="str">
        <f>"COSTO FINANCIERO  "&amp;ROUND(Costo_Financiero*100,2)&amp;" % de ( 1 )"</f>
        <v>COSTO FINANCIERO  0 % de ( 1 )</v>
      </c>
      <c r="C50" s="291">
        <f>Costo_Financiero</f>
        <v>0</v>
      </c>
      <c r="D50" s="292"/>
      <c r="E50" s="293">
        <f>Costo_Financiero</f>
        <v>0</v>
      </c>
      <c r="F50" s="294">
        <f>ROUND(F49*Costo_Financiero,2)</f>
        <v>0</v>
      </c>
    </row>
    <row r="51" spans="1:6" ht="20.100000000000001" customHeight="1" x14ac:dyDescent="0.2">
      <c r="A51" s="289" t="s">
        <v>1108</v>
      </c>
      <c r="B51" s="290" t="s">
        <v>1162</v>
      </c>
      <c r="C51" s="291"/>
      <c r="D51" s="292"/>
      <c r="E51" s="295"/>
      <c r="F51" s="294">
        <f>F49+F50</f>
        <v>0</v>
      </c>
    </row>
    <row r="52" spans="1:6" ht="20.100000000000001" customHeight="1" x14ac:dyDescent="0.2">
      <c r="A52" s="289" t="s">
        <v>1109</v>
      </c>
      <c r="B52" s="296" t="str">
        <f>CONCATENATE("GASTOS GENERALES  ",ROUND(Gastos_Generales*100,3)," % de ( 3 )")</f>
        <v>GASTOS GENERALES  0 % de ( 3 )</v>
      </c>
      <c r="C52" s="293">
        <f>Gastos_Generales</f>
        <v>0</v>
      </c>
      <c r="D52" s="297"/>
      <c r="E52" s="295"/>
      <c r="F52" s="294">
        <f>ROUND(F51*Gastos_Generales,2)</f>
        <v>0</v>
      </c>
    </row>
    <row r="53" spans="1:6" ht="20.100000000000001" customHeight="1" x14ac:dyDescent="0.2">
      <c r="A53" s="289" t="s">
        <v>1110</v>
      </c>
      <c r="B53" s="296" t="str">
        <f>CONCATENATE("BENEFICIOS  ",ROUND(Beneficio*100,2)," % de ( 3 )")</f>
        <v>BENEFICIOS  0 % de ( 3 )</v>
      </c>
      <c r="C53" s="293">
        <f>Beneficio</f>
        <v>0</v>
      </c>
      <c r="D53" s="297"/>
      <c r="E53" s="295"/>
      <c r="F53" s="294">
        <f>ROUND(F51*Beneficio,2)</f>
        <v>0</v>
      </c>
    </row>
    <row r="54" spans="1:6" ht="20.100000000000001" customHeight="1" x14ac:dyDescent="0.2">
      <c r="A54" s="289">
        <v>6</v>
      </c>
      <c r="B54" s="290" t="s">
        <v>1163</v>
      </c>
      <c r="C54" s="295"/>
      <c r="D54" s="297"/>
      <c r="E54" s="295"/>
      <c r="F54" s="294">
        <f>F51+F52+F53</f>
        <v>0</v>
      </c>
    </row>
    <row r="55" spans="1:6" ht="20.100000000000001" customHeight="1" x14ac:dyDescent="0.2">
      <c r="A55" s="289" t="s">
        <v>1164</v>
      </c>
      <c r="B55" s="296" t="str">
        <f>CONCATENATE("INGRESOS BRUTOS Y LOTE HOGAR  ",ROUND(Ingresos_Brutos*100,2)," % de ( 6 )")</f>
        <v>INGRESOS BRUTOS Y LOTE HOGAR  2,4 % de ( 6 )</v>
      </c>
      <c r="C55" s="293">
        <f>Ingresos_Brutos</f>
        <v>2.4E-2</v>
      </c>
      <c r="D55" s="297"/>
      <c r="E55" s="295"/>
      <c r="F55" s="294">
        <f>IF(Ingresos_Brutos=0,,ROUND(Ingresos_Brutos*F54,2))</f>
        <v>0</v>
      </c>
    </row>
    <row r="56" spans="1:6" ht="20.100000000000001" customHeight="1" x14ac:dyDescent="0.2">
      <c r="A56" s="298" t="s">
        <v>1165</v>
      </c>
      <c r="B56" s="299" t="str">
        <f>CONCATENATE("IMPUESTO AL VALOR AGREGADO ",IVA_Vivienda*100," % de ( 6 )")</f>
        <v>IMPUESTO AL VALOR AGREGADO 10,5 % de ( 6 )</v>
      </c>
      <c r="C56" s="300">
        <f>IVA_Vivienda</f>
        <v>0.105</v>
      </c>
      <c r="D56" s="301"/>
      <c r="E56" s="302"/>
      <c r="F56" s="303">
        <f>IF(IVA_Vivienda=0,,ROUND(IVA_Vivienda*F54,2))</f>
        <v>0</v>
      </c>
    </row>
    <row r="57" spans="1:6" ht="20.100000000000001" customHeight="1" x14ac:dyDescent="0.2">
      <c r="A57" s="100"/>
      <c r="B57" s="95"/>
      <c r="C57" s="95"/>
      <c r="D57" s="96"/>
      <c r="E57" s="97"/>
      <c r="F57" s="2"/>
    </row>
    <row r="58" spans="1:6" ht="20.100000000000001" customHeight="1" x14ac:dyDescent="0.2">
      <c r="A58" s="304"/>
      <c r="B58" s="305" t="str">
        <f>"PRECIO TOTAL VIVENDA"</f>
        <v>PRECIO TOTAL VIVENDA</v>
      </c>
      <c r="C58" s="305"/>
      <c r="D58" s="306"/>
      <c r="E58" s="307"/>
      <c r="F58" s="308">
        <f>SUM(F11:F47)</f>
        <v>0</v>
      </c>
    </row>
  </sheetData>
  <mergeCells count="7">
    <mergeCell ref="A1:F1"/>
    <mergeCell ref="A7:A8"/>
    <mergeCell ref="B7:B8"/>
    <mergeCell ref="C7:C8"/>
    <mergeCell ref="D7:D8"/>
    <mergeCell ref="E7:E8"/>
    <mergeCell ref="F7:F8"/>
  </mergeCells>
  <conditionalFormatting sqref="A31:B31 A46:B46 A11:A48 B10:B48">
    <cfRule type="expression" dxfId="147" priority="4" stopIfTrue="1">
      <formula>$C10=0</formula>
    </cfRule>
  </conditionalFormatting>
  <conditionalFormatting sqref="A10">
    <cfRule type="expression" dxfId="146" priority="3" stopIfTrue="1">
      <formula>$C10=0</formula>
    </cfRule>
  </conditionalFormatting>
  <conditionalFormatting sqref="F49">
    <cfRule type="expression" dxfId="145" priority="2" stopIfTrue="1">
      <formula>#REF!=1</formula>
    </cfRule>
  </conditionalFormatting>
  <pageMargins left="0.39370078740157483" right="0.39370078740157483" top="0.39370078740157483" bottom="0.39370078740157483" header="0.31496062992125984" footer="0.31496062992125984"/>
  <pageSetup paperSize="9" scale="6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59"/>
  <sheetViews>
    <sheetView workbookViewId="0">
      <selection activeCell="D11" sqref="D11:D46"/>
    </sheetView>
  </sheetViews>
  <sheetFormatPr baseColWidth="10" defaultRowHeight="12.75" x14ac:dyDescent="0.2"/>
  <cols>
    <col min="1" max="1" width="25" customWidth="1"/>
    <col min="2" max="2" width="76.85546875" customWidth="1"/>
    <col min="5" max="5" width="18" customWidth="1"/>
    <col min="6" max="6" width="19" customWidth="1"/>
    <col min="8" max="8" width="60.28515625" customWidth="1"/>
  </cols>
  <sheetData>
    <row r="1" spans="1:12" ht="20.100000000000001" customHeight="1" x14ac:dyDescent="0.2">
      <c r="A1" s="611" t="s">
        <v>1296</v>
      </c>
      <c r="B1" s="611"/>
      <c r="C1" s="611"/>
      <c r="D1" s="611"/>
      <c r="E1" s="611"/>
      <c r="F1" s="611"/>
    </row>
    <row r="2" spans="1:12" ht="20.100000000000001" customHeight="1" x14ac:dyDescent="0.2">
      <c r="A2" s="109" t="s">
        <v>1235</v>
      </c>
      <c r="B2" s="108" t="str">
        <f>Obra</f>
        <v>BARRIO JOSÉ AMÉRICO GRIMALT - SECTOR B</v>
      </c>
      <c r="C2" s="185"/>
      <c r="D2" s="110"/>
      <c r="E2" s="110"/>
      <c r="F2" s="110"/>
    </row>
    <row r="3" spans="1:12" ht="20.100000000000001" customHeight="1" x14ac:dyDescent="0.2">
      <c r="A3" s="109" t="s">
        <v>1238</v>
      </c>
      <c r="B3" s="108" t="str">
        <f>Ubicación</f>
        <v>DEPTO. ULLÚM</v>
      </c>
      <c r="C3" s="110"/>
      <c r="D3" s="110"/>
      <c r="E3" s="110"/>
      <c r="F3" s="110"/>
    </row>
    <row r="4" spans="1:12" ht="20.100000000000001" customHeight="1" x14ac:dyDescent="0.2">
      <c r="A4" s="109" t="s">
        <v>1128</v>
      </c>
      <c r="B4" s="116" t="s">
        <v>1295</v>
      </c>
      <c r="C4" s="109"/>
      <c r="D4" s="110"/>
      <c r="E4" s="110"/>
      <c r="F4" s="110"/>
    </row>
    <row r="5" spans="1:12" ht="20.100000000000001" customHeight="1" x14ac:dyDescent="0.2">
      <c r="A5" s="109" t="s">
        <v>1159</v>
      </c>
      <c r="B5" s="448"/>
      <c r="C5" s="109"/>
      <c r="D5" s="110"/>
      <c r="E5" s="110"/>
      <c r="F5" s="110"/>
    </row>
    <row r="6" spans="1:12" ht="20.100000000000001" customHeight="1" x14ac:dyDescent="0.2">
      <c r="A6" s="165"/>
      <c r="B6" s="447"/>
      <c r="C6" s="165"/>
      <c r="D6" s="165"/>
      <c r="E6" s="165"/>
      <c r="F6" s="165"/>
    </row>
    <row r="7" spans="1:12" ht="20.100000000000001" customHeight="1" x14ac:dyDescent="0.2">
      <c r="A7" s="612" t="s">
        <v>1105</v>
      </c>
      <c r="B7" s="614" t="s">
        <v>0</v>
      </c>
      <c r="C7" s="612" t="s">
        <v>1</v>
      </c>
      <c r="D7" s="612" t="s">
        <v>2</v>
      </c>
      <c r="E7" s="612" t="s">
        <v>1151</v>
      </c>
      <c r="F7" s="612" t="s">
        <v>1161</v>
      </c>
    </row>
    <row r="8" spans="1:12" ht="20.100000000000001" customHeight="1" x14ac:dyDescent="0.2">
      <c r="A8" s="613"/>
      <c r="B8" s="615"/>
      <c r="C8" s="613"/>
      <c r="D8" s="613"/>
      <c r="E8" s="613"/>
      <c r="F8" s="613"/>
    </row>
    <row r="9" spans="1:12" ht="20.100000000000001" customHeight="1" x14ac:dyDescent="0.2">
      <c r="A9" s="240"/>
      <c r="B9" s="423"/>
      <c r="C9" s="174"/>
      <c r="D9" s="174"/>
      <c r="E9" s="242"/>
      <c r="F9" s="243"/>
    </row>
    <row r="10" spans="1:12" ht="20.100000000000001" customHeight="1" x14ac:dyDescent="0.2">
      <c r="A10" s="274" t="s">
        <v>1125</v>
      </c>
      <c r="B10" s="275" t="str">
        <f t="shared" ref="B10:B43" si="0">IFERROR(VLOOKUP(A10,Tabla_Datos,2,FALSE),0)</f>
        <v>VIVIENDA</v>
      </c>
      <c r="C10" s="276"/>
      <c r="D10" s="277"/>
      <c r="E10" s="278"/>
      <c r="F10" s="278"/>
    </row>
    <row r="11" spans="1:12" ht="20.100000000000001" customHeight="1" x14ac:dyDescent="0.2">
      <c r="A11" s="268"/>
      <c r="B11" s="270">
        <f t="shared" si="0"/>
        <v>0</v>
      </c>
      <c r="C11" s="271">
        <f t="shared" ref="C11:C43" si="1">IFERROR(VLOOKUP(A11,Tabla_Datos,3,FALSE),0)</f>
        <v>0</v>
      </c>
      <c r="D11" s="279"/>
      <c r="E11" s="281">
        <f t="shared" ref="E11:E43" si="2">IFERROR(VLOOKUP(A11,Tabla_Comp_Presup,7,FALSE),0)</f>
        <v>0</v>
      </c>
      <c r="F11" s="281">
        <f t="shared" ref="F11:F43" si="3">ROUND(D11*E11,15)</f>
        <v>0</v>
      </c>
      <c r="L11">
        <v>43656.235200000003</v>
      </c>
    </row>
    <row r="12" spans="1:12" ht="20.100000000000001" customHeight="1" x14ac:dyDescent="0.2">
      <c r="A12" s="268"/>
      <c r="B12" s="270">
        <f t="shared" si="0"/>
        <v>0</v>
      </c>
      <c r="C12" s="271">
        <f t="shared" si="1"/>
        <v>0</v>
      </c>
      <c r="D12" s="279"/>
      <c r="E12" s="281">
        <f t="shared" ca="1" si="2"/>
        <v>0</v>
      </c>
      <c r="F12" s="281">
        <f t="shared" ca="1" si="3"/>
        <v>0</v>
      </c>
      <c r="L12">
        <v>14823.572399999999</v>
      </c>
    </row>
    <row r="13" spans="1:12" ht="20.100000000000001" customHeight="1" x14ac:dyDescent="0.2">
      <c r="A13" s="268"/>
      <c r="B13" s="270">
        <f t="shared" si="0"/>
        <v>0</v>
      </c>
      <c r="C13" s="271">
        <f t="shared" si="1"/>
        <v>0</v>
      </c>
      <c r="D13" s="279"/>
      <c r="E13" s="281">
        <f t="shared" si="2"/>
        <v>0</v>
      </c>
      <c r="F13" s="281">
        <f t="shared" si="3"/>
        <v>0</v>
      </c>
      <c r="L13">
        <v>63865.436999999998</v>
      </c>
    </row>
    <row r="14" spans="1:12" ht="20.100000000000001" customHeight="1" x14ac:dyDescent="0.2">
      <c r="A14" s="268"/>
      <c r="B14" s="270">
        <f t="shared" si="0"/>
        <v>0</v>
      </c>
      <c r="C14" s="271">
        <f t="shared" si="1"/>
        <v>0</v>
      </c>
      <c r="D14" s="279"/>
      <c r="E14" s="281">
        <f t="shared" si="2"/>
        <v>0</v>
      </c>
      <c r="F14" s="281">
        <f t="shared" si="3"/>
        <v>0</v>
      </c>
      <c r="L14">
        <v>134119.245</v>
      </c>
    </row>
    <row r="15" spans="1:12" ht="20.100000000000001" customHeight="1" x14ac:dyDescent="0.2">
      <c r="A15" s="268"/>
      <c r="B15" s="270">
        <f t="shared" si="0"/>
        <v>0</v>
      </c>
      <c r="C15" s="271">
        <f t="shared" si="1"/>
        <v>0</v>
      </c>
      <c r="D15" s="279"/>
      <c r="E15" s="281">
        <f t="shared" si="2"/>
        <v>0</v>
      </c>
      <c r="F15" s="281">
        <f t="shared" si="3"/>
        <v>0</v>
      </c>
      <c r="L15">
        <v>43031.37</v>
      </c>
    </row>
    <row r="16" spans="1:12" ht="20.100000000000001" customHeight="1" x14ac:dyDescent="0.2">
      <c r="A16" s="268"/>
      <c r="B16" s="270">
        <f t="shared" si="0"/>
        <v>0</v>
      </c>
      <c r="C16" s="271">
        <f t="shared" si="1"/>
        <v>0</v>
      </c>
      <c r="D16" s="279"/>
      <c r="E16" s="281">
        <f t="shared" si="2"/>
        <v>0</v>
      </c>
      <c r="F16" s="281">
        <f t="shared" si="3"/>
        <v>0</v>
      </c>
      <c r="L16">
        <v>158458.60550000001</v>
      </c>
    </row>
    <row r="17" spans="1:12" ht="20.100000000000001" customHeight="1" x14ac:dyDescent="0.2">
      <c r="A17" s="268"/>
      <c r="B17" s="270">
        <f t="shared" si="0"/>
        <v>0</v>
      </c>
      <c r="C17" s="271">
        <f t="shared" si="1"/>
        <v>0</v>
      </c>
      <c r="D17" s="279"/>
      <c r="E17" s="281">
        <f t="shared" si="2"/>
        <v>0</v>
      </c>
      <c r="F17" s="281">
        <f t="shared" si="3"/>
        <v>0</v>
      </c>
      <c r="L17">
        <v>2276.6183999999998</v>
      </c>
    </row>
    <row r="18" spans="1:12" ht="20.100000000000001" customHeight="1" x14ac:dyDescent="0.2">
      <c r="A18" s="268"/>
      <c r="B18" s="270">
        <f t="shared" si="0"/>
        <v>0</v>
      </c>
      <c r="C18" s="271">
        <f t="shared" si="1"/>
        <v>0</v>
      </c>
      <c r="D18" s="279"/>
      <c r="E18" s="281">
        <f t="shared" si="2"/>
        <v>0</v>
      </c>
      <c r="F18" s="281">
        <f t="shared" si="3"/>
        <v>0</v>
      </c>
      <c r="L18">
        <v>6137.47</v>
      </c>
    </row>
    <row r="19" spans="1:12" ht="20.100000000000001" customHeight="1" x14ac:dyDescent="0.2">
      <c r="A19" s="268"/>
      <c r="B19" s="270">
        <f t="shared" si="0"/>
        <v>0</v>
      </c>
      <c r="C19" s="271">
        <f t="shared" si="1"/>
        <v>0</v>
      </c>
      <c r="D19" s="279"/>
      <c r="E19" s="281">
        <f t="shared" si="2"/>
        <v>0</v>
      </c>
      <c r="F19" s="281">
        <f t="shared" si="3"/>
        <v>0</v>
      </c>
      <c r="L19">
        <v>17388.580000000002</v>
      </c>
    </row>
    <row r="20" spans="1:12" ht="20.100000000000001" customHeight="1" x14ac:dyDescent="0.2">
      <c r="A20" s="268"/>
      <c r="B20" s="270">
        <f t="shared" si="0"/>
        <v>0</v>
      </c>
      <c r="C20" s="271">
        <f t="shared" si="1"/>
        <v>0</v>
      </c>
      <c r="D20" s="279"/>
      <c r="E20" s="281">
        <f t="shared" si="2"/>
        <v>0</v>
      </c>
      <c r="F20" s="281">
        <f t="shared" si="3"/>
        <v>0</v>
      </c>
      <c r="L20">
        <v>0</v>
      </c>
    </row>
    <row r="21" spans="1:12" ht="20.100000000000001" customHeight="1" x14ac:dyDescent="0.2">
      <c r="A21" s="268"/>
      <c r="B21" s="270">
        <f t="shared" si="0"/>
        <v>0</v>
      </c>
      <c r="C21" s="271">
        <f t="shared" si="1"/>
        <v>0</v>
      </c>
      <c r="D21" s="279"/>
      <c r="E21" s="281">
        <f t="shared" si="2"/>
        <v>0</v>
      </c>
      <c r="F21" s="281">
        <f t="shared" si="3"/>
        <v>0</v>
      </c>
      <c r="L21">
        <v>31712.263500000001</v>
      </c>
    </row>
    <row r="22" spans="1:12" ht="20.100000000000001" customHeight="1" x14ac:dyDescent="0.2">
      <c r="A22" s="268"/>
      <c r="B22" s="270">
        <f t="shared" si="0"/>
        <v>0</v>
      </c>
      <c r="C22" s="271">
        <f t="shared" si="1"/>
        <v>0</v>
      </c>
      <c r="D22" s="279"/>
      <c r="E22" s="281">
        <f t="shared" si="2"/>
        <v>0</v>
      </c>
      <c r="F22" s="281">
        <f t="shared" si="3"/>
        <v>0</v>
      </c>
      <c r="L22">
        <v>47774.659800000001</v>
      </c>
    </row>
    <row r="23" spans="1:12" ht="20.100000000000001" customHeight="1" x14ac:dyDescent="0.2">
      <c r="A23" s="268"/>
      <c r="B23" s="270">
        <f t="shared" si="0"/>
        <v>0</v>
      </c>
      <c r="C23" s="271">
        <f t="shared" si="1"/>
        <v>0</v>
      </c>
      <c r="D23" s="279"/>
      <c r="E23" s="281">
        <f t="shared" si="2"/>
        <v>0</v>
      </c>
      <c r="F23" s="281">
        <f t="shared" si="3"/>
        <v>0</v>
      </c>
      <c r="L23">
        <v>24877.036800000002</v>
      </c>
    </row>
    <row r="24" spans="1:12" ht="20.100000000000001" customHeight="1" x14ac:dyDescent="0.2">
      <c r="A24" s="268"/>
      <c r="B24" s="270">
        <f t="shared" si="0"/>
        <v>0</v>
      </c>
      <c r="C24" s="271">
        <f t="shared" si="1"/>
        <v>0</v>
      </c>
      <c r="D24" s="279"/>
      <c r="E24" s="281">
        <f t="shared" si="2"/>
        <v>0</v>
      </c>
      <c r="F24" s="281">
        <f t="shared" si="3"/>
        <v>0</v>
      </c>
      <c r="L24">
        <v>194416.19</v>
      </c>
    </row>
    <row r="25" spans="1:12" ht="20.100000000000001" customHeight="1" x14ac:dyDescent="0.2">
      <c r="A25" s="268"/>
      <c r="B25" s="270">
        <f t="shared" si="0"/>
        <v>0</v>
      </c>
      <c r="C25" s="271">
        <f t="shared" si="1"/>
        <v>0</v>
      </c>
      <c r="D25" s="279"/>
      <c r="E25" s="281">
        <f t="shared" si="2"/>
        <v>0</v>
      </c>
      <c r="F25" s="281">
        <f t="shared" si="3"/>
        <v>0</v>
      </c>
      <c r="L25">
        <v>7399.0176000000001</v>
      </c>
    </row>
    <row r="26" spans="1:12" ht="20.100000000000001" customHeight="1" x14ac:dyDescent="0.2">
      <c r="A26" s="268"/>
      <c r="B26" s="270">
        <f t="shared" si="0"/>
        <v>0</v>
      </c>
      <c r="C26" s="271">
        <f t="shared" si="1"/>
        <v>0</v>
      </c>
      <c r="D26" s="279"/>
      <c r="E26" s="281">
        <f t="shared" si="2"/>
        <v>0</v>
      </c>
      <c r="F26" s="281">
        <f t="shared" si="3"/>
        <v>0</v>
      </c>
      <c r="L26">
        <v>75027.251999999993</v>
      </c>
    </row>
    <row r="27" spans="1:12" ht="20.100000000000001" customHeight="1" x14ac:dyDescent="0.2">
      <c r="A27" s="268"/>
      <c r="B27" s="270">
        <f t="shared" si="0"/>
        <v>0</v>
      </c>
      <c r="C27" s="271">
        <f t="shared" si="1"/>
        <v>0</v>
      </c>
      <c r="D27" s="279"/>
      <c r="E27" s="281">
        <f t="shared" si="2"/>
        <v>0</v>
      </c>
      <c r="F27" s="281">
        <f t="shared" si="3"/>
        <v>0</v>
      </c>
      <c r="L27">
        <v>17346.2022</v>
      </c>
    </row>
    <row r="28" spans="1:12" ht="20.100000000000001" customHeight="1" x14ac:dyDescent="0.2">
      <c r="A28" s="268"/>
      <c r="B28" s="270">
        <f t="shared" si="0"/>
        <v>0</v>
      </c>
      <c r="C28" s="271">
        <f t="shared" si="1"/>
        <v>0</v>
      </c>
      <c r="D28" s="279"/>
      <c r="E28" s="281">
        <f t="shared" si="2"/>
        <v>0</v>
      </c>
      <c r="F28" s="281">
        <f t="shared" si="3"/>
        <v>0</v>
      </c>
      <c r="L28">
        <v>30157.6368</v>
      </c>
    </row>
    <row r="29" spans="1:12" ht="20.100000000000001" customHeight="1" x14ac:dyDescent="0.2">
      <c r="A29" s="268"/>
      <c r="B29" s="270">
        <f>IFERROR(VLOOKUP(A29,Tabla_Datos,2,FALSE),0)</f>
        <v>0</v>
      </c>
      <c r="C29" s="271">
        <f>IFERROR(VLOOKUP(A29,Tabla_Datos,3,FALSE),0)</f>
        <v>0</v>
      </c>
      <c r="D29" s="279"/>
      <c r="E29" s="281">
        <f>IFERROR(VLOOKUP(A29,Tabla_Comp_Presup,7,FALSE),0)</f>
        <v>0</v>
      </c>
      <c r="F29" s="281">
        <f>ROUND(D29*E29,15)</f>
        <v>0</v>
      </c>
      <c r="L29">
        <v>62710.476000000002</v>
      </c>
    </row>
    <row r="30" spans="1:12" ht="20.100000000000001" customHeight="1" x14ac:dyDescent="0.2">
      <c r="A30" s="268"/>
      <c r="B30" s="270">
        <f>IFERROR(VLOOKUP(A30,Tabla_Datos,2,FALSE),0)</f>
        <v>0</v>
      </c>
      <c r="C30" s="271">
        <f>IFERROR(VLOOKUP(A30,Tabla_Datos,3,FALSE),0)</f>
        <v>0</v>
      </c>
      <c r="D30" s="279"/>
      <c r="E30" s="281">
        <f>IFERROR(VLOOKUP(A30,Tabla_Comp_Presup,7,FALSE),0)</f>
        <v>0</v>
      </c>
      <c r="F30" s="281">
        <f>ROUND(D30*E30,15)</f>
        <v>0</v>
      </c>
      <c r="L30">
        <v>4719.7335000000003</v>
      </c>
    </row>
    <row r="31" spans="1:12" ht="20.100000000000001" customHeight="1" x14ac:dyDescent="0.2">
      <c r="A31" s="268"/>
      <c r="B31" s="270">
        <f t="shared" si="0"/>
        <v>0</v>
      </c>
      <c r="C31" s="271">
        <f t="shared" si="1"/>
        <v>0</v>
      </c>
      <c r="D31" s="279"/>
      <c r="E31" s="281">
        <f t="shared" si="2"/>
        <v>0</v>
      </c>
      <c r="F31" s="281">
        <f t="shared" si="3"/>
        <v>0</v>
      </c>
      <c r="L31">
        <v>42445.984799999998</v>
      </c>
    </row>
    <row r="32" spans="1:12" ht="20.100000000000001" customHeight="1" x14ac:dyDescent="0.2">
      <c r="A32" s="268"/>
      <c r="B32" s="270">
        <f t="shared" si="0"/>
        <v>0</v>
      </c>
      <c r="C32" s="271">
        <f t="shared" si="1"/>
        <v>0</v>
      </c>
      <c r="D32" s="279"/>
      <c r="E32" s="281">
        <f t="shared" si="2"/>
        <v>0</v>
      </c>
      <c r="F32" s="281">
        <f t="shared" si="3"/>
        <v>0</v>
      </c>
      <c r="L32">
        <v>21271.119999999999</v>
      </c>
    </row>
    <row r="33" spans="1:12" ht="20.100000000000001" customHeight="1" x14ac:dyDescent="0.2">
      <c r="A33" s="268"/>
      <c r="B33" s="270">
        <f t="shared" si="0"/>
        <v>0</v>
      </c>
      <c r="C33" s="271">
        <f t="shared" si="1"/>
        <v>0</v>
      </c>
      <c r="D33" s="279"/>
      <c r="E33" s="281">
        <f t="shared" si="2"/>
        <v>0</v>
      </c>
      <c r="F33" s="281">
        <f t="shared" si="3"/>
        <v>0</v>
      </c>
      <c r="L33">
        <v>2443.85</v>
      </c>
    </row>
    <row r="34" spans="1:12" ht="20.100000000000001" customHeight="1" x14ac:dyDescent="0.2">
      <c r="A34" s="268"/>
      <c r="B34" s="270">
        <f t="shared" si="0"/>
        <v>0</v>
      </c>
      <c r="C34" s="271">
        <f t="shared" si="1"/>
        <v>0</v>
      </c>
      <c r="D34" s="279"/>
      <c r="E34" s="281">
        <f t="shared" si="2"/>
        <v>0</v>
      </c>
      <c r="F34" s="281">
        <f t="shared" si="3"/>
        <v>0</v>
      </c>
      <c r="L34">
        <v>14023.8696</v>
      </c>
    </row>
    <row r="35" spans="1:12" ht="20.100000000000001" customHeight="1" x14ac:dyDescent="0.2">
      <c r="A35" s="268"/>
      <c r="B35" s="270">
        <f t="shared" si="0"/>
        <v>0</v>
      </c>
      <c r="C35" s="271">
        <f t="shared" si="1"/>
        <v>0</v>
      </c>
      <c r="D35" s="279"/>
      <c r="E35" s="281">
        <f t="shared" si="2"/>
        <v>0</v>
      </c>
      <c r="F35" s="281">
        <f t="shared" si="3"/>
        <v>0</v>
      </c>
      <c r="L35">
        <v>7412.4318000000003</v>
      </c>
    </row>
    <row r="36" spans="1:12" ht="20.100000000000001" customHeight="1" x14ac:dyDescent="0.2">
      <c r="A36" s="268"/>
      <c r="B36" s="270">
        <f t="shared" si="0"/>
        <v>0</v>
      </c>
      <c r="C36" s="271">
        <f t="shared" si="1"/>
        <v>0</v>
      </c>
      <c r="D36" s="279"/>
      <c r="E36" s="281">
        <f t="shared" si="2"/>
        <v>0</v>
      </c>
      <c r="F36" s="281">
        <f t="shared" si="3"/>
        <v>0</v>
      </c>
      <c r="L36">
        <v>41055.997499999998</v>
      </c>
    </row>
    <row r="37" spans="1:12" ht="20.100000000000001" customHeight="1" x14ac:dyDescent="0.2">
      <c r="A37" s="268"/>
      <c r="B37" s="270">
        <f t="shared" si="0"/>
        <v>0</v>
      </c>
      <c r="C37" s="271">
        <f t="shared" si="1"/>
        <v>0</v>
      </c>
      <c r="D37" s="279"/>
      <c r="E37" s="281">
        <f t="shared" si="2"/>
        <v>0</v>
      </c>
      <c r="F37" s="281">
        <f t="shared" si="3"/>
        <v>0</v>
      </c>
      <c r="L37">
        <v>68630.625</v>
      </c>
    </row>
    <row r="38" spans="1:12" ht="20.100000000000001" customHeight="1" x14ac:dyDescent="0.2">
      <c r="A38" s="268"/>
      <c r="B38" s="270">
        <f t="shared" si="0"/>
        <v>0</v>
      </c>
      <c r="C38" s="271">
        <f t="shared" si="1"/>
        <v>0</v>
      </c>
      <c r="D38" s="279"/>
      <c r="E38" s="281">
        <f t="shared" si="2"/>
        <v>0</v>
      </c>
      <c r="F38" s="281">
        <f t="shared" si="3"/>
        <v>0</v>
      </c>
      <c r="L38">
        <v>7213.0568999999996</v>
      </c>
    </row>
    <row r="39" spans="1:12" ht="20.100000000000001" customHeight="1" x14ac:dyDescent="0.2">
      <c r="A39" s="268"/>
      <c r="B39" s="270">
        <f t="shared" si="0"/>
        <v>0</v>
      </c>
      <c r="C39" s="271">
        <f t="shared" si="1"/>
        <v>0</v>
      </c>
      <c r="D39" s="279"/>
      <c r="E39" s="281">
        <f t="shared" si="2"/>
        <v>0</v>
      </c>
      <c r="F39" s="281">
        <f t="shared" si="3"/>
        <v>0</v>
      </c>
      <c r="L39">
        <v>693.81359999999995</v>
      </c>
    </row>
    <row r="40" spans="1:12" ht="20.100000000000001" customHeight="1" x14ac:dyDescent="0.2">
      <c r="A40" s="268"/>
      <c r="B40" s="270">
        <f t="shared" si="0"/>
        <v>0</v>
      </c>
      <c r="C40" s="271">
        <f t="shared" si="1"/>
        <v>0</v>
      </c>
      <c r="D40" s="279"/>
      <c r="E40" s="281">
        <f t="shared" si="2"/>
        <v>0</v>
      </c>
      <c r="F40" s="281">
        <f t="shared" si="3"/>
        <v>0</v>
      </c>
      <c r="L40">
        <v>8995.24</v>
      </c>
    </row>
    <row r="41" spans="1:12" ht="20.100000000000001" customHeight="1" x14ac:dyDescent="0.2">
      <c r="A41" s="268"/>
      <c r="B41" s="270">
        <f t="shared" si="0"/>
        <v>0</v>
      </c>
      <c r="C41" s="271">
        <f t="shared" si="1"/>
        <v>0</v>
      </c>
      <c r="D41" s="279"/>
      <c r="E41" s="281">
        <f t="shared" si="2"/>
        <v>0</v>
      </c>
      <c r="F41" s="281">
        <f t="shared" si="3"/>
        <v>0</v>
      </c>
      <c r="L41">
        <v>93485.1</v>
      </c>
    </row>
    <row r="42" spans="1:12" ht="20.100000000000001" customHeight="1" x14ac:dyDescent="0.2">
      <c r="A42" s="268"/>
      <c r="B42" s="270">
        <f t="shared" si="0"/>
        <v>0</v>
      </c>
      <c r="C42" s="271">
        <f t="shared" si="1"/>
        <v>0</v>
      </c>
      <c r="D42" s="279"/>
      <c r="E42" s="281">
        <f t="shared" si="2"/>
        <v>0</v>
      </c>
      <c r="F42" s="281">
        <f t="shared" si="3"/>
        <v>0</v>
      </c>
      <c r="L42">
        <v>50932.31</v>
      </c>
    </row>
    <row r="43" spans="1:12" ht="20.100000000000001" customHeight="1" x14ac:dyDescent="0.2">
      <c r="A43" s="268"/>
      <c r="B43" s="270">
        <f t="shared" si="0"/>
        <v>0</v>
      </c>
      <c r="C43" s="271">
        <f t="shared" si="1"/>
        <v>0</v>
      </c>
      <c r="D43" s="279"/>
      <c r="E43" s="281">
        <f t="shared" si="2"/>
        <v>0</v>
      </c>
      <c r="F43" s="281">
        <f t="shared" si="3"/>
        <v>0</v>
      </c>
      <c r="L43">
        <v>44390.61</v>
      </c>
    </row>
    <row r="44" spans="1:12" ht="20.100000000000001" customHeight="1" x14ac:dyDescent="0.2">
      <c r="A44" s="268"/>
      <c r="B44" s="270">
        <f>IFERROR(VLOOKUP(A44,Tabla_Datos,2,FALSE),0)</f>
        <v>0</v>
      </c>
      <c r="C44" s="271">
        <f>IFERROR(VLOOKUP(A44,Tabla_Datos,3,FALSE),0)</f>
        <v>0</v>
      </c>
      <c r="D44" s="279"/>
      <c r="E44" s="281">
        <f>IFERROR(VLOOKUP(A44,Tabla_Comp_Presup,7,FALSE),0)</f>
        <v>0</v>
      </c>
      <c r="F44" s="281">
        <f>ROUND(D44*E44,15)</f>
        <v>0</v>
      </c>
      <c r="L44">
        <v>76551.679999999993</v>
      </c>
    </row>
    <row r="45" spans="1:12" ht="20.100000000000001" customHeight="1" x14ac:dyDescent="0.2">
      <c r="A45" s="268"/>
      <c r="B45" s="270">
        <f>IFERROR(VLOOKUP(A45,Tabla_Datos,2,FALSE),0)</f>
        <v>0</v>
      </c>
      <c r="C45" s="271">
        <f>IFERROR(VLOOKUP(A45,Tabla_Datos,3,FALSE),0)</f>
        <v>0</v>
      </c>
      <c r="D45" s="279"/>
      <c r="E45" s="281">
        <f>IFERROR(VLOOKUP(A45,Tabla_Comp_Presup,7,FALSE),0)</f>
        <v>0</v>
      </c>
      <c r="F45" s="281">
        <f>ROUND(D45*E45,15)</f>
        <v>0</v>
      </c>
      <c r="L45">
        <v>0</v>
      </c>
    </row>
    <row r="46" spans="1:12" ht="20.100000000000001" customHeight="1" x14ac:dyDescent="0.2">
      <c r="A46" s="268"/>
      <c r="B46" s="270">
        <f>IFERROR(VLOOKUP(A46,Tabla_Datos,2,FALSE),0)</f>
        <v>0</v>
      </c>
      <c r="C46" s="271">
        <f>IFERROR(VLOOKUP(A46,Tabla_Datos,3,FALSE),0)</f>
        <v>0</v>
      </c>
      <c r="D46" s="279"/>
      <c r="E46" s="281">
        <f>IFERROR(VLOOKUP(A46,Tabla_Comp_Presup,7,FALSE),0)</f>
        <v>0</v>
      </c>
      <c r="F46" s="281">
        <f>ROUND(D46*E46,15)</f>
        <v>0</v>
      </c>
    </row>
    <row r="47" spans="1:12" ht="20.100000000000001" customHeight="1" x14ac:dyDescent="0.2">
      <c r="A47" s="268"/>
      <c r="B47" s="270"/>
      <c r="C47" s="271"/>
      <c r="D47" s="279"/>
      <c r="E47" s="281"/>
      <c r="F47" s="281"/>
    </row>
    <row r="48" spans="1:12" ht="20.100000000000001" customHeight="1" x14ac:dyDescent="0.2">
      <c r="A48" s="268"/>
      <c r="B48" s="270"/>
      <c r="C48" s="271"/>
      <c r="D48" s="279"/>
      <c r="E48" s="281"/>
      <c r="F48" s="281"/>
    </row>
    <row r="49" spans="1:6" ht="20.100000000000001" customHeight="1" x14ac:dyDescent="0.2">
      <c r="A49" s="235"/>
      <c r="B49" s="236"/>
      <c r="C49" s="237"/>
      <c r="D49" s="238"/>
      <c r="E49" s="239"/>
      <c r="F49" s="239"/>
    </row>
    <row r="50" spans="1:6" ht="20.100000000000001" customHeight="1" x14ac:dyDescent="0.2">
      <c r="A50" s="283" t="s">
        <v>1106</v>
      </c>
      <c r="B50" s="284" t="s">
        <v>1166</v>
      </c>
      <c r="C50" s="285"/>
      <c r="D50" s="286"/>
      <c r="E50" s="287"/>
      <c r="F50" s="288">
        <f ca="1">ROUND(F59/Coef_Paso_Vivienda,2)</f>
        <v>0</v>
      </c>
    </row>
    <row r="51" spans="1:6" ht="20.100000000000001" customHeight="1" x14ac:dyDescent="0.2">
      <c r="A51" s="289" t="s">
        <v>1107</v>
      </c>
      <c r="B51" s="290" t="str">
        <f>"COSTO FINANCIERO  "&amp;ROUND(Costo_Financiero*100,2)&amp;" % de ( 1 )"</f>
        <v>COSTO FINANCIERO  0 % de ( 1 )</v>
      </c>
      <c r="C51" s="291">
        <f>Costo_Financiero</f>
        <v>0</v>
      </c>
      <c r="D51" s="292"/>
      <c r="E51" s="293">
        <f>Costo_Financiero</f>
        <v>0</v>
      </c>
      <c r="F51" s="294">
        <f ca="1">ROUND(F50*Costo_Financiero,2)</f>
        <v>0</v>
      </c>
    </row>
    <row r="52" spans="1:6" ht="20.100000000000001" customHeight="1" x14ac:dyDescent="0.2">
      <c r="A52" s="289" t="s">
        <v>1108</v>
      </c>
      <c r="B52" s="290" t="s">
        <v>1162</v>
      </c>
      <c r="C52" s="291"/>
      <c r="D52" s="292"/>
      <c r="E52" s="295"/>
      <c r="F52" s="294">
        <f ca="1">F50+F51</f>
        <v>0</v>
      </c>
    </row>
    <row r="53" spans="1:6" ht="20.100000000000001" customHeight="1" x14ac:dyDescent="0.2">
      <c r="A53" s="289" t="s">
        <v>1109</v>
      </c>
      <c r="B53" s="296" t="str">
        <f>CONCATENATE("GASTOS GENERALES  ",ROUND(Gastos_Generales*100,3)," % de ( 3 )")</f>
        <v>GASTOS GENERALES  0 % de ( 3 )</v>
      </c>
      <c r="C53" s="293">
        <f>Gastos_Generales</f>
        <v>0</v>
      </c>
      <c r="D53" s="297"/>
      <c r="E53" s="295"/>
      <c r="F53" s="294">
        <f ca="1">ROUND(F52*Gastos_Generales,2)</f>
        <v>0</v>
      </c>
    </row>
    <row r="54" spans="1:6" ht="20.100000000000001" customHeight="1" x14ac:dyDescent="0.2">
      <c r="A54" s="289" t="s">
        <v>1110</v>
      </c>
      <c r="B54" s="296" t="str">
        <f>CONCATENATE("BENEFICIOS  ",ROUND(Beneficio*100,2)," % de ( 3 )")</f>
        <v>BENEFICIOS  0 % de ( 3 )</v>
      </c>
      <c r="C54" s="293">
        <f>Beneficio</f>
        <v>0</v>
      </c>
      <c r="D54" s="297"/>
      <c r="E54" s="295"/>
      <c r="F54" s="294">
        <f ca="1">ROUND(F52*Beneficio,2)</f>
        <v>0</v>
      </c>
    </row>
    <row r="55" spans="1:6" ht="20.100000000000001" customHeight="1" x14ac:dyDescent="0.2">
      <c r="A55" s="289">
        <v>6</v>
      </c>
      <c r="B55" s="290" t="s">
        <v>1163</v>
      </c>
      <c r="C55" s="295"/>
      <c r="D55" s="297"/>
      <c r="E55" s="295"/>
      <c r="F55" s="294">
        <f ca="1">F52+F53+F54</f>
        <v>0</v>
      </c>
    </row>
    <row r="56" spans="1:6" ht="20.100000000000001" customHeight="1" x14ac:dyDescent="0.2">
      <c r="A56" s="289" t="s">
        <v>1164</v>
      </c>
      <c r="B56" s="296" t="str">
        <f>CONCATENATE("INGRESOS BRUTOS Y LOTE HOGAR  ",ROUND(Ingresos_Brutos*100,2)," % de ( 6 )")</f>
        <v>INGRESOS BRUTOS Y LOTE HOGAR  2,4 % de ( 6 )</v>
      </c>
      <c r="C56" s="293">
        <f>Ingresos_Brutos</f>
        <v>2.4E-2</v>
      </c>
      <c r="D56" s="297"/>
      <c r="E56" s="295"/>
      <c r="F56" s="294">
        <f ca="1">IF(Ingresos_Brutos=0,,ROUND(Ingresos_Brutos*F55,2))</f>
        <v>0</v>
      </c>
    </row>
    <row r="57" spans="1:6" ht="20.100000000000001" customHeight="1" x14ac:dyDescent="0.2">
      <c r="A57" s="298" t="s">
        <v>1165</v>
      </c>
      <c r="B57" s="299" t="str">
        <f>CONCATENATE("IMPUESTO AL VALOR AGREGADO ",IVA_Vivienda*100," % de ( 6 )")</f>
        <v>IMPUESTO AL VALOR AGREGADO 10,5 % de ( 6 )</v>
      </c>
      <c r="C57" s="300">
        <f>IVA_Vivienda</f>
        <v>0.105</v>
      </c>
      <c r="D57" s="301"/>
      <c r="E57" s="302"/>
      <c r="F57" s="303">
        <f ca="1">IF(IVA_Vivienda=0,,ROUND(IVA_Vivienda*F55,2))</f>
        <v>0</v>
      </c>
    </row>
    <row r="58" spans="1:6" ht="20.100000000000001" customHeight="1" x14ac:dyDescent="0.2">
      <c r="A58" s="100"/>
      <c r="B58" s="95"/>
      <c r="C58" s="95"/>
      <c r="D58" s="96"/>
      <c r="E58" s="97"/>
      <c r="F58" s="2"/>
    </row>
    <row r="59" spans="1:6" ht="20.100000000000001" customHeight="1" x14ac:dyDescent="0.2">
      <c r="A59" s="304"/>
      <c r="B59" s="305" t="str">
        <f>"PRECIO TOTAL VIVENDA"</f>
        <v>PRECIO TOTAL VIVENDA</v>
      </c>
      <c r="C59" s="305"/>
      <c r="D59" s="306"/>
      <c r="E59" s="307"/>
      <c r="F59" s="308">
        <f ca="1">SUM(F11:F48)</f>
        <v>0</v>
      </c>
    </row>
  </sheetData>
  <mergeCells count="7">
    <mergeCell ref="A1:F1"/>
    <mergeCell ref="A7:A8"/>
    <mergeCell ref="B7:B8"/>
    <mergeCell ref="C7:C8"/>
    <mergeCell ref="D7:D8"/>
    <mergeCell ref="E7:E8"/>
    <mergeCell ref="F7:F8"/>
  </mergeCells>
  <conditionalFormatting sqref="A30:B30 A46:B46 B10:B49 A11:A49">
    <cfRule type="expression" dxfId="144" priority="5" stopIfTrue="1">
      <formula>$C10=0</formula>
    </cfRule>
  </conditionalFormatting>
  <conditionalFormatting sqref="A10">
    <cfRule type="expression" dxfId="143" priority="4" stopIfTrue="1">
      <formula>$C10=0</formula>
    </cfRule>
  </conditionalFormatting>
  <conditionalFormatting sqref="F50">
    <cfRule type="expression" dxfId="142" priority="3" stopIfTrue="1">
      <formula>#REF!=1</formula>
    </cfRule>
  </conditionalFormatting>
  <pageMargins left="0.39370078740157483" right="0.39370078740157483" top="0.74803149606299213" bottom="0.74803149606299213" header="0.31496062992125984" footer="0.31496062992125984"/>
  <pageSetup paperSize="9" scale="6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59"/>
  <sheetViews>
    <sheetView workbookViewId="0">
      <selection activeCell="D11" sqref="D11:D45"/>
    </sheetView>
  </sheetViews>
  <sheetFormatPr baseColWidth="10" defaultRowHeight="12.75" x14ac:dyDescent="0.2"/>
  <cols>
    <col min="1" max="1" width="18.85546875" customWidth="1"/>
    <col min="2" max="2" width="83.7109375" customWidth="1"/>
    <col min="5" max="5" width="21" customWidth="1"/>
    <col min="6" max="6" width="20.7109375" customWidth="1"/>
    <col min="7" max="7" width="7" customWidth="1"/>
    <col min="8" max="8" width="75.140625" customWidth="1"/>
    <col min="9" max="9" width="6.7109375" customWidth="1"/>
  </cols>
  <sheetData>
    <row r="1" spans="1:10" ht="20.100000000000001" customHeight="1" x14ac:dyDescent="0.2">
      <c r="A1" s="611" t="s">
        <v>1297</v>
      </c>
      <c r="B1" s="611"/>
      <c r="C1" s="611"/>
      <c r="D1" s="611"/>
      <c r="E1" s="611"/>
      <c r="F1" s="611"/>
    </row>
    <row r="2" spans="1:10" ht="20.100000000000001" customHeight="1" x14ac:dyDescent="0.2">
      <c r="A2" s="109" t="s">
        <v>1235</v>
      </c>
      <c r="B2" s="108" t="str">
        <f>Obra</f>
        <v>BARRIO JOSÉ AMÉRICO GRIMALT - SECTOR B</v>
      </c>
      <c r="C2" s="185"/>
      <c r="D2" s="110"/>
      <c r="E2" s="110"/>
      <c r="F2" s="110"/>
    </row>
    <row r="3" spans="1:10" ht="20.100000000000001" customHeight="1" x14ac:dyDescent="0.2">
      <c r="A3" s="109" t="s">
        <v>1238</v>
      </c>
      <c r="B3" s="108" t="str">
        <f>Ubicación</f>
        <v>DEPTO. ULLÚM</v>
      </c>
      <c r="C3" s="110"/>
      <c r="D3" s="110"/>
      <c r="E3" s="110"/>
      <c r="F3" s="110"/>
    </row>
    <row r="4" spans="1:10" ht="20.100000000000001" customHeight="1" x14ac:dyDescent="0.2">
      <c r="A4" s="109" t="s">
        <v>1128</v>
      </c>
      <c r="B4" s="116" t="s">
        <v>1299</v>
      </c>
      <c r="C4" s="109"/>
      <c r="D4" s="110"/>
      <c r="E4" s="110"/>
      <c r="F4" s="110"/>
    </row>
    <row r="5" spans="1:10" ht="20.100000000000001" customHeight="1" x14ac:dyDescent="0.2">
      <c r="A5" s="109" t="s">
        <v>1159</v>
      </c>
      <c r="B5" s="448"/>
      <c r="C5" s="109"/>
      <c r="D5" s="110"/>
      <c r="E5" s="110"/>
      <c r="F5" s="110"/>
    </row>
    <row r="6" spans="1:10" ht="20.100000000000001" customHeight="1" x14ac:dyDescent="0.2">
      <c r="A6" s="165"/>
      <c r="B6" s="447"/>
      <c r="C6" s="165"/>
      <c r="D6" s="165"/>
      <c r="E6" s="165"/>
      <c r="F6" s="165"/>
    </row>
    <row r="7" spans="1:10" x14ac:dyDescent="0.2">
      <c r="A7" s="612" t="s">
        <v>1105</v>
      </c>
      <c r="B7" s="614" t="s">
        <v>0</v>
      </c>
      <c r="C7" s="612" t="s">
        <v>1</v>
      </c>
      <c r="D7" s="612" t="s">
        <v>2</v>
      </c>
      <c r="E7" s="612" t="s">
        <v>1151</v>
      </c>
      <c r="F7" s="612" t="s">
        <v>1161</v>
      </c>
    </row>
    <row r="8" spans="1:10" ht="30.75" customHeight="1" x14ac:dyDescent="0.2">
      <c r="A8" s="613"/>
      <c r="B8" s="615"/>
      <c r="C8" s="613"/>
      <c r="D8" s="613"/>
      <c r="E8" s="613"/>
      <c r="F8" s="613"/>
    </row>
    <row r="9" spans="1:10" x14ac:dyDescent="0.2">
      <c r="A9" s="240"/>
      <c r="B9" s="423"/>
      <c r="C9" s="174"/>
      <c r="D9" s="174"/>
      <c r="E9" s="242"/>
      <c r="F9" s="243"/>
    </row>
    <row r="10" spans="1:10" ht="20.100000000000001" customHeight="1" x14ac:dyDescent="0.2">
      <c r="A10" s="274" t="s">
        <v>1125</v>
      </c>
      <c r="B10" s="275" t="str">
        <f t="shared" ref="B10:B42" si="0">IFERROR(VLOOKUP(A10,Tabla_Datos,2,FALSE),0)</f>
        <v>VIVIENDA</v>
      </c>
      <c r="C10" s="276">
        <f t="shared" ref="C10:C42" si="1">IFERROR(VLOOKUP(A10,Tabla_Datos,3,FALSE),0)</f>
        <v>0</v>
      </c>
      <c r="D10" s="277"/>
      <c r="E10" s="278">
        <f t="shared" ref="E10:E42" si="2">IFERROR(VLOOKUP(A10,Tabla_Comp_Presup,7,FALSE),0)</f>
        <v>0</v>
      </c>
      <c r="F10" s="278">
        <f t="shared" ref="F10:F42" si="3">ROUND(D10*E10,15)</f>
        <v>0</v>
      </c>
    </row>
    <row r="11" spans="1:10" ht="20.100000000000001" customHeight="1" x14ac:dyDescent="0.2">
      <c r="A11" s="268"/>
      <c r="B11" s="270">
        <f t="shared" si="0"/>
        <v>0</v>
      </c>
      <c r="C11" s="271">
        <f t="shared" si="1"/>
        <v>0</v>
      </c>
      <c r="D11" s="279"/>
      <c r="E11" s="281">
        <f t="shared" ca="1" si="2"/>
        <v>0</v>
      </c>
      <c r="F11" s="281">
        <f t="shared" ca="1" si="3"/>
        <v>0</v>
      </c>
      <c r="J11">
        <v>2.8</v>
      </c>
    </row>
    <row r="12" spans="1:10" ht="20.100000000000001" customHeight="1" x14ac:dyDescent="0.2">
      <c r="A12" s="268"/>
      <c r="B12" s="270">
        <f t="shared" si="0"/>
        <v>0</v>
      </c>
      <c r="C12" s="271">
        <f t="shared" si="1"/>
        <v>0</v>
      </c>
      <c r="D12" s="279"/>
      <c r="E12" s="281">
        <f t="shared" si="2"/>
        <v>0</v>
      </c>
      <c r="F12" s="281">
        <f t="shared" si="3"/>
        <v>0</v>
      </c>
      <c r="J12">
        <v>0.43</v>
      </c>
    </row>
    <row r="13" spans="1:10" ht="20.100000000000001" customHeight="1" x14ac:dyDescent="0.2">
      <c r="A13" s="268"/>
      <c r="B13" s="270">
        <f t="shared" si="0"/>
        <v>0</v>
      </c>
      <c r="C13" s="271">
        <f t="shared" si="1"/>
        <v>0</v>
      </c>
      <c r="D13" s="279"/>
      <c r="E13" s="281">
        <f t="shared" si="2"/>
        <v>0</v>
      </c>
      <c r="F13" s="281">
        <f t="shared" si="3"/>
        <v>0</v>
      </c>
      <c r="J13">
        <v>2.98</v>
      </c>
    </row>
    <row r="14" spans="1:10" ht="20.100000000000001" customHeight="1" x14ac:dyDescent="0.2">
      <c r="A14" s="268"/>
      <c r="B14" s="270">
        <f t="shared" si="0"/>
        <v>0</v>
      </c>
      <c r="C14" s="271">
        <f t="shared" si="1"/>
        <v>0</v>
      </c>
      <c r="D14" s="279"/>
      <c r="E14" s="281">
        <f t="shared" si="2"/>
        <v>0</v>
      </c>
      <c r="F14" s="281">
        <f t="shared" si="3"/>
        <v>0</v>
      </c>
      <c r="J14">
        <v>11.84</v>
      </c>
    </row>
    <row r="15" spans="1:10" ht="20.100000000000001" customHeight="1" x14ac:dyDescent="0.2">
      <c r="A15" s="268"/>
      <c r="B15" s="270">
        <f t="shared" si="0"/>
        <v>0</v>
      </c>
      <c r="C15" s="271">
        <f t="shared" si="1"/>
        <v>0</v>
      </c>
      <c r="D15" s="279"/>
      <c r="E15" s="281">
        <f t="shared" si="2"/>
        <v>0</v>
      </c>
      <c r="F15" s="281">
        <f t="shared" si="3"/>
        <v>0</v>
      </c>
      <c r="J15">
        <v>9.5500000000000007</v>
      </c>
    </row>
    <row r="16" spans="1:10" ht="20.100000000000001" customHeight="1" x14ac:dyDescent="0.2">
      <c r="A16" s="268"/>
      <c r="B16" s="270">
        <f t="shared" si="0"/>
        <v>0</v>
      </c>
      <c r="C16" s="271">
        <f t="shared" si="1"/>
        <v>0</v>
      </c>
      <c r="D16" s="279"/>
      <c r="E16" s="281">
        <f t="shared" si="2"/>
        <v>0</v>
      </c>
      <c r="F16" s="281">
        <f t="shared" si="3"/>
        <v>0</v>
      </c>
      <c r="J16">
        <v>110.2</v>
      </c>
    </row>
    <row r="17" spans="1:10" ht="20.100000000000001" customHeight="1" x14ac:dyDescent="0.2">
      <c r="A17" s="268"/>
      <c r="B17" s="270">
        <f t="shared" si="0"/>
        <v>0</v>
      </c>
      <c r="C17" s="271">
        <f t="shared" si="1"/>
        <v>0</v>
      </c>
      <c r="D17" s="279"/>
      <c r="E17" s="281">
        <f t="shared" si="2"/>
        <v>0</v>
      </c>
      <c r="F17" s="281">
        <f t="shared" si="3"/>
        <v>0</v>
      </c>
      <c r="J17">
        <v>8.07</v>
      </c>
    </row>
    <row r="18" spans="1:10" ht="20.100000000000001" customHeight="1" x14ac:dyDescent="0.2">
      <c r="A18" s="268"/>
      <c r="B18" s="270">
        <f t="shared" si="0"/>
        <v>0</v>
      </c>
      <c r="C18" s="271">
        <f t="shared" si="1"/>
        <v>0</v>
      </c>
      <c r="D18" s="279"/>
      <c r="E18" s="281">
        <f t="shared" si="2"/>
        <v>0</v>
      </c>
      <c r="F18" s="281">
        <f t="shared" si="3"/>
        <v>0</v>
      </c>
    </row>
    <row r="19" spans="1:10" ht="20.100000000000001" customHeight="1" x14ac:dyDescent="0.2">
      <c r="A19" s="268"/>
      <c r="B19" s="270">
        <f t="shared" si="0"/>
        <v>0</v>
      </c>
      <c r="C19" s="271">
        <f t="shared" si="1"/>
        <v>0</v>
      </c>
      <c r="D19" s="279"/>
      <c r="E19" s="281">
        <f t="shared" si="2"/>
        <v>0</v>
      </c>
      <c r="F19" s="281">
        <f t="shared" si="3"/>
        <v>0</v>
      </c>
    </row>
    <row r="20" spans="1:10" ht="20.100000000000001" customHeight="1" x14ac:dyDescent="0.2">
      <c r="A20" s="268"/>
      <c r="B20" s="270">
        <f t="shared" si="0"/>
        <v>0</v>
      </c>
      <c r="C20" s="271">
        <f t="shared" si="1"/>
        <v>0</v>
      </c>
      <c r="D20" s="279"/>
      <c r="E20" s="281">
        <f t="shared" si="2"/>
        <v>0</v>
      </c>
      <c r="F20" s="281">
        <f t="shared" si="3"/>
        <v>0</v>
      </c>
      <c r="J20">
        <v>100.69</v>
      </c>
    </row>
    <row r="21" spans="1:10" ht="20.100000000000001" customHeight="1" x14ac:dyDescent="0.2">
      <c r="A21" s="268"/>
      <c r="B21" s="270">
        <f t="shared" si="0"/>
        <v>0</v>
      </c>
      <c r="C21" s="271">
        <f t="shared" si="1"/>
        <v>0</v>
      </c>
      <c r="D21" s="279"/>
      <c r="E21" s="281">
        <f t="shared" si="2"/>
        <v>0</v>
      </c>
      <c r="F21" s="281">
        <f t="shared" si="3"/>
        <v>0</v>
      </c>
      <c r="J21">
        <v>100.69</v>
      </c>
    </row>
    <row r="22" spans="1:10" ht="20.100000000000001" customHeight="1" x14ac:dyDescent="0.2">
      <c r="A22" s="268"/>
      <c r="B22" s="270">
        <f t="shared" si="0"/>
        <v>0</v>
      </c>
      <c r="C22" s="271">
        <f t="shared" si="1"/>
        <v>0</v>
      </c>
      <c r="D22" s="279"/>
      <c r="E22" s="281">
        <f t="shared" si="2"/>
        <v>0</v>
      </c>
      <c r="F22" s="281">
        <f t="shared" si="3"/>
        <v>0</v>
      </c>
      <c r="J22">
        <v>64.86</v>
      </c>
    </row>
    <row r="23" spans="1:10" ht="20.100000000000001" customHeight="1" x14ac:dyDescent="0.2">
      <c r="A23" s="268"/>
      <c r="B23" s="270">
        <f t="shared" si="0"/>
        <v>0</v>
      </c>
      <c r="C23" s="271">
        <f t="shared" si="1"/>
        <v>0</v>
      </c>
      <c r="D23" s="279"/>
      <c r="E23" s="281">
        <f t="shared" si="2"/>
        <v>0</v>
      </c>
      <c r="F23" s="281">
        <f t="shared" si="3"/>
        <v>0</v>
      </c>
      <c r="J23">
        <v>1</v>
      </c>
    </row>
    <row r="24" spans="1:10" ht="20.100000000000001" customHeight="1" x14ac:dyDescent="0.2">
      <c r="A24" s="268"/>
      <c r="B24" s="270">
        <f t="shared" si="0"/>
        <v>0</v>
      </c>
      <c r="C24" s="271">
        <f t="shared" si="1"/>
        <v>0</v>
      </c>
      <c r="D24" s="279"/>
      <c r="E24" s="281">
        <f t="shared" si="2"/>
        <v>0</v>
      </c>
      <c r="F24" s="281">
        <f t="shared" si="3"/>
        <v>0</v>
      </c>
      <c r="J24">
        <v>20.14</v>
      </c>
    </row>
    <row r="25" spans="1:10" ht="20.100000000000001" customHeight="1" x14ac:dyDescent="0.2">
      <c r="A25" s="268"/>
      <c r="B25" s="270">
        <f t="shared" si="0"/>
        <v>0</v>
      </c>
      <c r="C25" s="271">
        <f t="shared" si="1"/>
        <v>0</v>
      </c>
      <c r="D25" s="279"/>
      <c r="E25" s="281">
        <f t="shared" si="2"/>
        <v>0</v>
      </c>
      <c r="F25" s="281">
        <f t="shared" si="3"/>
        <v>0</v>
      </c>
      <c r="J25">
        <v>189.77</v>
      </c>
    </row>
    <row r="26" spans="1:10" ht="20.100000000000001" customHeight="1" x14ac:dyDescent="0.2">
      <c r="A26" s="268"/>
      <c r="B26" s="270">
        <f t="shared" si="0"/>
        <v>0</v>
      </c>
      <c r="C26" s="271">
        <f t="shared" si="1"/>
        <v>0</v>
      </c>
      <c r="D26" s="279"/>
      <c r="E26" s="281">
        <f t="shared" si="2"/>
        <v>0</v>
      </c>
      <c r="F26" s="281">
        <f t="shared" si="3"/>
        <v>0</v>
      </c>
      <c r="J26">
        <v>20.14</v>
      </c>
    </row>
    <row r="27" spans="1:10" ht="20.100000000000001" customHeight="1" x14ac:dyDescent="0.2">
      <c r="A27" s="268"/>
      <c r="B27" s="270">
        <f t="shared" si="0"/>
        <v>0</v>
      </c>
      <c r="C27" s="271">
        <f t="shared" si="1"/>
        <v>0</v>
      </c>
      <c r="D27" s="279"/>
      <c r="E27" s="281">
        <f t="shared" si="2"/>
        <v>0</v>
      </c>
      <c r="F27" s="281">
        <f t="shared" si="3"/>
        <v>0</v>
      </c>
      <c r="J27">
        <v>65.239999999999995</v>
      </c>
    </row>
    <row r="28" spans="1:10" ht="20.100000000000001" customHeight="1" x14ac:dyDescent="0.2">
      <c r="A28" s="268"/>
      <c r="B28" s="270">
        <f>IFERROR(VLOOKUP(A28,Tabla_Datos,2,FALSE),0)</f>
        <v>0</v>
      </c>
      <c r="C28" s="271">
        <f>IFERROR(VLOOKUP(A28,Tabla_Datos,3,FALSE),0)</f>
        <v>0</v>
      </c>
      <c r="D28" s="279"/>
      <c r="E28" s="281">
        <f>IFERROR(VLOOKUP(A28,Tabla_Comp_Presup,7,FALSE),0)</f>
        <v>0</v>
      </c>
      <c r="F28" s="281">
        <f>ROUND(D28*E28,15)</f>
        <v>0</v>
      </c>
      <c r="J28">
        <v>167.44</v>
      </c>
    </row>
    <row r="29" spans="1:10" ht="20.100000000000001" customHeight="1" x14ac:dyDescent="0.2">
      <c r="A29" s="268"/>
      <c r="B29" s="270">
        <f t="shared" si="0"/>
        <v>0</v>
      </c>
      <c r="C29" s="271">
        <f t="shared" si="1"/>
        <v>0</v>
      </c>
      <c r="D29" s="279"/>
      <c r="E29" s="281">
        <f t="shared" si="2"/>
        <v>0</v>
      </c>
      <c r="F29" s="281">
        <f t="shared" si="3"/>
        <v>0</v>
      </c>
      <c r="J29">
        <v>20.85</v>
      </c>
    </row>
    <row r="30" spans="1:10" ht="20.100000000000001" customHeight="1" x14ac:dyDescent="0.2">
      <c r="A30" s="268"/>
      <c r="B30" s="270">
        <f>IFERROR(VLOOKUP(A30,Tabla_Datos,2,FALSE),0)</f>
        <v>0</v>
      </c>
      <c r="C30" s="271">
        <f>IFERROR(VLOOKUP(A30,Tabla_Datos,3,FALSE),0)</f>
        <v>0</v>
      </c>
      <c r="D30" s="279"/>
      <c r="E30" s="281">
        <f>IFERROR(VLOOKUP(A30,Tabla_Comp_Presup,7,FALSE),0)</f>
        <v>0</v>
      </c>
      <c r="F30" s="281">
        <f>ROUND(D30*E30,15)</f>
        <v>0</v>
      </c>
      <c r="J30">
        <v>93.47</v>
      </c>
    </row>
    <row r="31" spans="1:10" ht="20.100000000000001" customHeight="1" x14ac:dyDescent="0.2">
      <c r="A31" s="268"/>
      <c r="B31" s="270">
        <f t="shared" si="0"/>
        <v>0</v>
      </c>
      <c r="C31" s="271">
        <f t="shared" si="1"/>
        <v>0</v>
      </c>
      <c r="D31" s="279"/>
      <c r="E31" s="281">
        <f t="shared" si="2"/>
        <v>0</v>
      </c>
      <c r="F31" s="281">
        <f t="shared" si="3"/>
        <v>0</v>
      </c>
      <c r="J31">
        <v>1</v>
      </c>
    </row>
    <row r="32" spans="1:10" ht="20.100000000000001" customHeight="1" x14ac:dyDescent="0.2">
      <c r="A32" s="268"/>
      <c r="B32" s="270">
        <f t="shared" si="0"/>
        <v>0</v>
      </c>
      <c r="C32" s="271">
        <f t="shared" si="1"/>
        <v>0</v>
      </c>
      <c r="D32" s="279"/>
      <c r="E32" s="281">
        <f t="shared" si="2"/>
        <v>0</v>
      </c>
      <c r="F32" s="281">
        <f t="shared" si="3"/>
        <v>0</v>
      </c>
      <c r="J32">
        <v>2.8</v>
      </c>
    </row>
    <row r="33" spans="1:10" ht="20.100000000000001" customHeight="1" x14ac:dyDescent="0.2">
      <c r="A33" s="268"/>
      <c r="B33" s="270">
        <f t="shared" si="0"/>
        <v>0</v>
      </c>
      <c r="C33" s="271">
        <f t="shared" si="1"/>
        <v>0</v>
      </c>
      <c r="D33" s="279"/>
      <c r="E33" s="281">
        <f t="shared" si="2"/>
        <v>0</v>
      </c>
      <c r="F33" s="281">
        <f t="shared" si="3"/>
        <v>0</v>
      </c>
      <c r="J33">
        <v>35.39</v>
      </c>
    </row>
    <row r="34" spans="1:10" ht="20.100000000000001" customHeight="1" x14ac:dyDescent="0.2">
      <c r="A34" s="268"/>
      <c r="B34" s="270">
        <f t="shared" si="0"/>
        <v>0</v>
      </c>
      <c r="C34" s="271">
        <f t="shared" si="1"/>
        <v>0</v>
      </c>
      <c r="D34" s="279"/>
      <c r="E34" s="281">
        <f t="shared" si="2"/>
        <v>0</v>
      </c>
      <c r="F34" s="281">
        <f t="shared" si="3"/>
        <v>0</v>
      </c>
      <c r="J34">
        <v>14.67</v>
      </c>
    </row>
    <row r="35" spans="1:10" ht="20.100000000000001" customHeight="1" x14ac:dyDescent="0.2">
      <c r="A35" s="268"/>
      <c r="B35" s="270">
        <f t="shared" si="0"/>
        <v>0</v>
      </c>
      <c r="C35" s="271">
        <f t="shared" si="1"/>
        <v>0</v>
      </c>
      <c r="D35" s="279"/>
      <c r="E35" s="281">
        <f t="shared" si="2"/>
        <v>0</v>
      </c>
      <c r="F35" s="281">
        <f t="shared" si="3"/>
        <v>0</v>
      </c>
      <c r="J35">
        <v>167.44</v>
      </c>
    </row>
    <row r="36" spans="1:10" ht="20.100000000000001" customHeight="1" x14ac:dyDescent="0.2">
      <c r="A36" s="268"/>
      <c r="B36" s="270">
        <f t="shared" si="0"/>
        <v>0</v>
      </c>
      <c r="C36" s="271">
        <f t="shared" si="1"/>
        <v>0</v>
      </c>
      <c r="D36" s="279"/>
      <c r="E36" s="281">
        <f t="shared" si="2"/>
        <v>0</v>
      </c>
      <c r="F36" s="281">
        <f>ROUND(D36*E36,15)</f>
        <v>0</v>
      </c>
      <c r="I36" s="453"/>
      <c r="J36">
        <v>304.08999999999997</v>
      </c>
    </row>
    <row r="37" spans="1:10" ht="20.100000000000001" customHeight="1" x14ac:dyDescent="0.2">
      <c r="A37" s="268"/>
      <c r="B37" s="270">
        <f t="shared" si="0"/>
        <v>0</v>
      </c>
      <c r="C37" s="271">
        <f t="shared" si="1"/>
        <v>0</v>
      </c>
      <c r="D37" s="279"/>
      <c r="E37" s="281">
        <f t="shared" si="2"/>
        <v>0</v>
      </c>
      <c r="F37" s="281">
        <f t="shared" si="3"/>
        <v>0</v>
      </c>
      <c r="J37">
        <v>7.99</v>
      </c>
    </row>
    <row r="38" spans="1:10" ht="20.100000000000001" customHeight="1" x14ac:dyDescent="0.2">
      <c r="A38" s="268"/>
      <c r="B38" s="270">
        <f t="shared" si="0"/>
        <v>0</v>
      </c>
      <c r="C38" s="271">
        <f t="shared" si="1"/>
        <v>0</v>
      </c>
      <c r="D38" s="279"/>
      <c r="E38" s="281">
        <f t="shared" si="2"/>
        <v>0</v>
      </c>
      <c r="F38" s="281">
        <f t="shared" si="3"/>
        <v>0</v>
      </c>
      <c r="J38">
        <v>0.42</v>
      </c>
    </row>
    <row r="39" spans="1:10" ht="20.100000000000001" customHeight="1" x14ac:dyDescent="0.2">
      <c r="A39" s="268"/>
      <c r="B39" s="270">
        <f t="shared" si="0"/>
        <v>0</v>
      </c>
      <c r="C39" s="271">
        <f t="shared" si="1"/>
        <v>0</v>
      </c>
      <c r="D39" s="279"/>
      <c r="E39" s="281">
        <f ca="1">IFERROR(VLOOKUP(A39,Tabla_Comp_Presup,7,FALSE),0)</f>
        <v>0</v>
      </c>
      <c r="F39" s="281">
        <f t="shared" ca="1" si="3"/>
        <v>0</v>
      </c>
      <c r="J39">
        <v>2.8</v>
      </c>
    </row>
    <row r="40" spans="1:10" ht="20.100000000000001" customHeight="1" x14ac:dyDescent="0.2">
      <c r="A40" s="268"/>
      <c r="B40" s="270">
        <f t="shared" si="0"/>
        <v>0</v>
      </c>
      <c r="C40" s="271">
        <f t="shared" si="1"/>
        <v>0</v>
      </c>
      <c r="D40" s="279"/>
      <c r="E40" s="281">
        <f>IFERROR(VLOOKUP(A40,Tabla_Comp_Presup,7,FALSE),0)</f>
        <v>0</v>
      </c>
      <c r="F40" s="281">
        <f t="shared" si="3"/>
        <v>0</v>
      </c>
      <c r="J40">
        <v>1</v>
      </c>
    </row>
    <row r="41" spans="1:10" ht="20.100000000000001" customHeight="1" x14ac:dyDescent="0.2">
      <c r="A41" s="268"/>
      <c r="B41" s="270">
        <f t="shared" si="0"/>
        <v>0</v>
      </c>
      <c r="C41" s="271">
        <f t="shared" si="1"/>
        <v>0</v>
      </c>
      <c r="D41" s="279"/>
      <c r="E41" s="281">
        <f t="shared" si="2"/>
        <v>0</v>
      </c>
      <c r="F41" s="281">
        <f t="shared" si="3"/>
        <v>0</v>
      </c>
      <c r="J41">
        <v>1</v>
      </c>
    </row>
    <row r="42" spans="1:10" ht="20.100000000000001" customHeight="1" x14ac:dyDescent="0.2">
      <c r="A42" s="268"/>
      <c r="B42" s="270">
        <f t="shared" si="0"/>
        <v>0</v>
      </c>
      <c r="C42" s="271">
        <f t="shared" si="1"/>
        <v>0</v>
      </c>
      <c r="D42" s="279"/>
      <c r="E42" s="281">
        <f t="shared" si="2"/>
        <v>0</v>
      </c>
      <c r="F42" s="281">
        <f t="shared" si="3"/>
        <v>0</v>
      </c>
      <c r="J42">
        <v>1</v>
      </c>
    </row>
    <row r="43" spans="1:10" ht="20.100000000000001" customHeight="1" x14ac:dyDescent="0.2">
      <c r="A43" s="268"/>
      <c r="B43" s="270">
        <f>IFERROR(VLOOKUP(A43,Tabla_Datos,2,FALSE),0)</f>
        <v>0</v>
      </c>
      <c r="C43" s="271">
        <f>IFERROR(VLOOKUP(A43,Tabla_Datos,3,FALSE),0)</f>
        <v>0</v>
      </c>
      <c r="D43" s="279"/>
      <c r="E43" s="281">
        <f>IFERROR(VLOOKUP(A43,Tabla_Comp_Presup,7,FALSE),0)</f>
        <v>0</v>
      </c>
      <c r="F43" s="281">
        <f>ROUND(D43*E43,15)</f>
        <v>0</v>
      </c>
      <c r="J43">
        <v>1</v>
      </c>
    </row>
    <row r="44" spans="1:10" ht="20.100000000000001" customHeight="1" x14ac:dyDescent="0.2">
      <c r="A44" s="268"/>
      <c r="B44" s="270">
        <f>IFERROR(VLOOKUP(A44,Tabla_Datos,2,FALSE),0)</f>
        <v>0</v>
      </c>
      <c r="C44" s="271">
        <f>IFERROR(VLOOKUP(A44,Tabla_Datos,3,FALSE),0)</f>
        <v>0</v>
      </c>
      <c r="D44" s="279"/>
      <c r="E44" s="281">
        <f>IFERROR(VLOOKUP(A44,Tabla_Comp_Presup,7,FALSE),0)</f>
        <v>0</v>
      </c>
      <c r="F44" s="281">
        <f>ROUND(D44*E44,15)</f>
        <v>0</v>
      </c>
      <c r="J44">
        <v>1</v>
      </c>
    </row>
    <row r="45" spans="1:10" ht="20.100000000000001" customHeight="1" x14ac:dyDescent="0.2">
      <c r="A45" s="268"/>
      <c r="B45" s="270">
        <f>IFERROR(VLOOKUP(A45,Tabla_Datos,2,FALSE),0)</f>
        <v>0</v>
      </c>
      <c r="C45" s="271">
        <f>IFERROR(VLOOKUP(A45,Tabla_Datos,3,FALSE),0)</f>
        <v>0</v>
      </c>
      <c r="D45" s="279"/>
      <c r="E45" s="281">
        <f>IFERROR(VLOOKUP(A45,Tabla_Comp_Presup,7,FALSE),0)</f>
        <v>0</v>
      </c>
      <c r="F45" s="281">
        <f>ROUND(D45*E45,15)</f>
        <v>0</v>
      </c>
    </row>
    <row r="46" spans="1:10" ht="20.100000000000001" customHeight="1" x14ac:dyDescent="0.2">
      <c r="A46" s="268"/>
      <c r="B46" s="270"/>
      <c r="C46" s="271"/>
      <c r="D46" s="279"/>
      <c r="E46" s="281"/>
      <c r="F46" s="281"/>
    </row>
    <row r="47" spans="1:10" ht="20.100000000000001" customHeight="1" x14ac:dyDescent="0.2">
      <c r="A47" s="268"/>
      <c r="B47" s="270"/>
      <c r="C47" s="271"/>
      <c r="D47" s="279"/>
      <c r="E47" s="281"/>
      <c r="F47" s="281"/>
    </row>
    <row r="48" spans="1:10" ht="20.100000000000001" customHeight="1" x14ac:dyDescent="0.2">
      <c r="A48" s="268"/>
      <c r="B48" s="270"/>
      <c r="C48" s="271"/>
      <c r="D48" s="279"/>
      <c r="E48" s="281"/>
      <c r="F48" s="281"/>
    </row>
    <row r="49" spans="1:14" ht="20.100000000000001" customHeight="1" x14ac:dyDescent="0.2">
      <c r="A49" s="235"/>
      <c r="B49" s="236"/>
      <c r="C49" s="237"/>
      <c r="D49" s="238"/>
      <c r="E49" s="239"/>
      <c r="F49" s="239"/>
    </row>
    <row r="50" spans="1:14" ht="20.100000000000001" customHeight="1" x14ac:dyDescent="0.2">
      <c r="A50" s="283" t="s">
        <v>1106</v>
      </c>
      <c r="B50" s="284" t="s">
        <v>1166</v>
      </c>
      <c r="C50" s="285"/>
      <c r="D50" s="286"/>
      <c r="E50" s="287"/>
      <c r="F50" s="288">
        <f ca="1">ROUND(F59/Coef_Paso_Vivienda,2)</f>
        <v>0</v>
      </c>
      <c r="N50" s="393" t="s">
        <v>1298</v>
      </c>
    </row>
    <row r="51" spans="1:14" ht="20.100000000000001" customHeight="1" x14ac:dyDescent="0.2">
      <c r="A51" s="289" t="s">
        <v>1107</v>
      </c>
      <c r="B51" s="290" t="str">
        <f>"COSTO FINANCIERO  "&amp;ROUND(Costo_Financiero*100,2)&amp;" % de ( 1 )"</f>
        <v>COSTO FINANCIERO  0 % de ( 1 )</v>
      </c>
      <c r="C51" s="291">
        <f>Costo_Financiero</f>
        <v>0</v>
      </c>
      <c r="D51" s="292"/>
      <c r="E51" s="293">
        <f>Costo_Financiero</f>
        <v>0</v>
      </c>
      <c r="F51" s="294">
        <f ca="1">ROUND(F50*Costo_Financiero,2)</f>
        <v>0</v>
      </c>
    </row>
    <row r="52" spans="1:14" ht="20.100000000000001" customHeight="1" x14ac:dyDescent="0.2">
      <c r="A52" s="289" t="s">
        <v>1108</v>
      </c>
      <c r="B52" s="290" t="s">
        <v>1162</v>
      </c>
      <c r="C52" s="291"/>
      <c r="D52" s="292"/>
      <c r="E52" s="295"/>
      <c r="F52" s="294">
        <f ca="1">F50+F51</f>
        <v>0</v>
      </c>
    </row>
    <row r="53" spans="1:14" ht="20.100000000000001" customHeight="1" x14ac:dyDescent="0.2">
      <c r="A53" s="289" t="s">
        <v>1109</v>
      </c>
      <c r="B53" s="296" t="str">
        <f>CONCATENATE("GASTOS GENERALES  ",ROUND(Gastos_Generales*100,3)," % de ( 3 )")</f>
        <v>GASTOS GENERALES  0 % de ( 3 )</v>
      </c>
      <c r="C53" s="293">
        <f>Gastos_Generales</f>
        <v>0</v>
      </c>
      <c r="D53" s="297"/>
      <c r="E53" s="295"/>
      <c r="F53" s="294">
        <f ca="1">ROUND(F52*Gastos_Generales,2)</f>
        <v>0</v>
      </c>
    </row>
    <row r="54" spans="1:14" ht="20.100000000000001" customHeight="1" x14ac:dyDescent="0.2">
      <c r="A54" s="289" t="s">
        <v>1110</v>
      </c>
      <c r="B54" s="296" t="str">
        <f>CONCATENATE("BENEFICIOS  ",ROUND(Beneficio*100,2)," % de ( 3 )")</f>
        <v>BENEFICIOS  0 % de ( 3 )</v>
      </c>
      <c r="C54" s="293">
        <f>Beneficio</f>
        <v>0</v>
      </c>
      <c r="D54" s="297"/>
      <c r="E54" s="295"/>
      <c r="F54" s="294">
        <f ca="1">ROUND(F52*Beneficio,2)</f>
        <v>0</v>
      </c>
    </row>
    <row r="55" spans="1:14" ht="20.100000000000001" customHeight="1" x14ac:dyDescent="0.2">
      <c r="A55" s="289">
        <v>6</v>
      </c>
      <c r="B55" s="290" t="s">
        <v>1163</v>
      </c>
      <c r="C55" s="295"/>
      <c r="D55" s="297"/>
      <c r="E55" s="295"/>
      <c r="F55" s="294">
        <f ca="1">F52+F53+F54</f>
        <v>0</v>
      </c>
    </row>
    <row r="56" spans="1:14" ht="20.100000000000001" customHeight="1" x14ac:dyDescent="0.2">
      <c r="A56" s="289" t="s">
        <v>1164</v>
      </c>
      <c r="B56" s="296" t="str">
        <f>CONCATENATE("INGRESOS BRUTOS Y LOTE HOGAR  ",ROUND(Ingresos_Brutos*100,2)," % de ( 6 )")</f>
        <v>INGRESOS BRUTOS Y LOTE HOGAR  2,4 % de ( 6 )</v>
      </c>
      <c r="C56" s="293">
        <f>Ingresos_Brutos</f>
        <v>2.4E-2</v>
      </c>
      <c r="D56" s="297"/>
      <c r="E56" s="295"/>
      <c r="F56" s="294">
        <f ca="1">IF(Ingresos_Brutos=0,,ROUND(Ingresos_Brutos*F55,2))</f>
        <v>0</v>
      </c>
    </row>
    <row r="57" spans="1:14" ht="20.100000000000001" customHeight="1" x14ac:dyDescent="0.2">
      <c r="A57" s="298" t="s">
        <v>1165</v>
      </c>
      <c r="B57" s="299" t="str">
        <f>CONCATENATE("IMPUESTO AL VALOR AGREGADO ",IVA_Vivienda*100," % de ( 6 )")</f>
        <v>IMPUESTO AL VALOR AGREGADO 10,5 % de ( 6 )</v>
      </c>
      <c r="C57" s="300">
        <f>IVA_Vivienda</f>
        <v>0.105</v>
      </c>
      <c r="D57" s="301"/>
      <c r="E57" s="302"/>
      <c r="F57" s="303">
        <f ca="1">IF(IVA_Vivienda=0,,ROUND(IVA_Vivienda*F55,2))</f>
        <v>0</v>
      </c>
    </row>
    <row r="58" spans="1:14" ht="20.100000000000001" customHeight="1" x14ac:dyDescent="0.2">
      <c r="A58" s="100"/>
      <c r="B58" s="95"/>
      <c r="C58" s="95"/>
      <c r="D58" s="96"/>
      <c r="E58" s="97"/>
      <c r="F58" s="2"/>
    </row>
    <row r="59" spans="1:14" ht="20.100000000000001" customHeight="1" x14ac:dyDescent="0.2">
      <c r="A59" s="304"/>
      <c r="B59" s="305" t="str">
        <f>"PRECIO TOTAL VIVENDA"</f>
        <v>PRECIO TOTAL VIVENDA</v>
      </c>
      <c r="C59" s="305"/>
      <c r="D59" s="306"/>
      <c r="E59" s="307"/>
      <c r="F59" s="308">
        <f ca="1">SUM(F11:F48)</f>
        <v>0</v>
      </c>
    </row>
  </sheetData>
  <mergeCells count="7">
    <mergeCell ref="A1:F1"/>
    <mergeCell ref="A7:A8"/>
    <mergeCell ref="B7:B8"/>
    <mergeCell ref="C7:C8"/>
    <mergeCell ref="D7:D8"/>
    <mergeCell ref="E7:E8"/>
    <mergeCell ref="F7:F8"/>
  </mergeCells>
  <conditionalFormatting sqref="A30:B30 B10:B49 A11:A49">
    <cfRule type="expression" dxfId="141" priority="6" stopIfTrue="1">
      <formula>$C10=0</formula>
    </cfRule>
  </conditionalFormatting>
  <conditionalFormatting sqref="A10">
    <cfRule type="expression" dxfId="140" priority="5" stopIfTrue="1">
      <formula>$C10=0</formula>
    </cfRule>
  </conditionalFormatting>
  <conditionalFormatting sqref="F50">
    <cfRule type="expression" dxfId="139" priority="4" stopIfTrue="1">
      <formula>#REF!=1</formula>
    </cfRule>
  </conditionalFormatting>
  <conditionalFormatting sqref="A11:A19">
    <cfRule type="expression" dxfId="138" priority="3" stopIfTrue="1">
      <formula>$C11=0</formula>
    </cfRule>
  </conditionalFormatting>
  <conditionalFormatting sqref="A11:A19">
    <cfRule type="expression" dxfId="137" priority="2" stopIfTrue="1">
      <formula>$C11=0</formula>
    </cfRule>
  </conditionalFormatting>
  <conditionalFormatting sqref="A11:A19">
    <cfRule type="expression" dxfId="136" priority="1" stopIfTrue="1">
      <formula>$C11=0</formula>
    </cfRule>
  </conditionalFormatting>
  <pageMargins left="0.39370078740157483" right="0.39370078740157483" top="0.74803149606299213" bottom="0.74803149606299213" header="0.31496062992125984" footer="0.31496062992125984"/>
  <pageSetup paperSize="9" scale="5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59"/>
  <sheetViews>
    <sheetView workbookViewId="0">
      <selection activeCell="A11" sqref="A11:A46"/>
    </sheetView>
  </sheetViews>
  <sheetFormatPr baseColWidth="10" defaultRowHeight="12.75" x14ac:dyDescent="0.2"/>
  <cols>
    <col min="1" max="1" width="18.7109375" customWidth="1"/>
    <col min="2" max="2" width="79.7109375" customWidth="1"/>
    <col min="3" max="3" width="19.85546875" customWidth="1"/>
    <col min="4" max="4" width="13.85546875" customWidth="1"/>
    <col min="5" max="5" width="22" customWidth="1"/>
    <col min="6" max="6" width="20.7109375" customWidth="1"/>
    <col min="8" max="8" width="56.28515625" customWidth="1"/>
  </cols>
  <sheetData>
    <row r="1" spans="1:10" ht="20.100000000000001" customHeight="1" x14ac:dyDescent="0.2">
      <c r="A1" s="611" t="s">
        <v>1301</v>
      </c>
      <c r="B1" s="611"/>
      <c r="C1" s="611"/>
      <c r="D1" s="611"/>
      <c r="E1" s="611"/>
      <c r="F1" s="611"/>
    </row>
    <row r="2" spans="1:10" ht="20.100000000000001" customHeight="1" x14ac:dyDescent="0.2">
      <c r="A2" s="109" t="s">
        <v>1235</v>
      </c>
      <c r="B2" s="108" t="str">
        <f>Obra</f>
        <v>BARRIO JOSÉ AMÉRICO GRIMALT - SECTOR B</v>
      </c>
      <c r="C2" s="185"/>
      <c r="D2" s="110"/>
      <c r="E2" s="110"/>
      <c r="F2" s="110"/>
    </row>
    <row r="3" spans="1:10" ht="20.100000000000001" customHeight="1" x14ac:dyDescent="0.2">
      <c r="A3" s="109" t="s">
        <v>1238</v>
      </c>
      <c r="B3" s="108" t="str">
        <f>Ubicación</f>
        <v>DEPTO. ULLÚM</v>
      </c>
      <c r="C3" s="110"/>
      <c r="D3" s="110"/>
      <c r="E3" s="110"/>
      <c r="F3" s="110"/>
    </row>
    <row r="4" spans="1:10" ht="20.100000000000001" customHeight="1" x14ac:dyDescent="0.2">
      <c r="A4" s="109" t="s">
        <v>1128</v>
      </c>
      <c r="B4" s="116" t="s">
        <v>1300</v>
      </c>
      <c r="C4" s="109"/>
      <c r="D4" s="110"/>
      <c r="E4" s="110"/>
      <c r="F4" s="110"/>
    </row>
    <row r="5" spans="1:10" ht="20.100000000000001" customHeight="1" x14ac:dyDescent="0.2">
      <c r="A5" s="109" t="s">
        <v>1159</v>
      </c>
      <c r="B5" s="450"/>
      <c r="C5" s="109"/>
      <c r="D5" s="110"/>
      <c r="E5" s="110"/>
      <c r="F5" s="110"/>
    </row>
    <row r="6" spans="1:10" ht="20.100000000000001" customHeight="1" x14ac:dyDescent="0.2">
      <c r="A6" s="165"/>
      <c r="B6" s="449"/>
      <c r="C6" s="165"/>
      <c r="D6" s="165"/>
      <c r="E6" s="165"/>
      <c r="F6" s="165"/>
    </row>
    <row r="7" spans="1:10" ht="20.100000000000001" customHeight="1" x14ac:dyDescent="0.2">
      <c r="A7" s="612" t="s">
        <v>1105</v>
      </c>
      <c r="B7" s="614" t="s">
        <v>0</v>
      </c>
      <c r="C7" s="612" t="s">
        <v>1</v>
      </c>
      <c r="D7" s="612" t="s">
        <v>2</v>
      </c>
      <c r="E7" s="612" t="s">
        <v>1151</v>
      </c>
      <c r="F7" s="612" t="s">
        <v>1161</v>
      </c>
    </row>
    <row r="8" spans="1:10" ht="20.100000000000001" customHeight="1" x14ac:dyDescent="0.2">
      <c r="A8" s="613"/>
      <c r="B8" s="615"/>
      <c r="C8" s="613"/>
      <c r="D8" s="613"/>
      <c r="E8" s="613"/>
      <c r="F8" s="613"/>
    </row>
    <row r="9" spans="1:10" ht="20.100000000000001" customHeight="1" x14ac:dyDescent="0.2">
      <c r="A9" s="240"/>
      <c r="B9" s="423"/>
      <c r="C9" s="174"/>
      <c r="D9" s="174"/>
      <c r="E9" s="242"/>
      <c r="F9" s="243"/>
    </row>
    <row r="10" spans="1:10" ht="20.100000000000001" customHeight="1" x14ac:dyDescent="0.2">
      <c r="A10" s="274" t="s">
        <v>1125</v>
      </c>
      <c r="B10" s="275" t="str">
        <f t="shared" ref="B10:B43" si="0">IFERROR(VLOOKUP(A10,Tabla_Datos,2,FALSE),0)</f>
        <v>VIVIENDA</v>
      </c>
      <c r="C10" s="276"/>
      <c r="D10" s="277"/>
      <c r="E10" s="278"/>
      <c r="F10" s="278"/>
    </row>
    <row r="11" spans="1:10" ht="20.100000000000001" customHeight="1" x14ac:dyDescent="0.2">
      <c r="A11" s="268"/>
      <c r="B11" s="270">
        <f t="shared" si="0"/>
        <v>0</v>
      </c>
      <c r="C11" s="271">
        <f t="shared" ref="C11:C43" si="1">IFERROR(VLOOKUP(A11,Tabla_Datos,3,FALSE),0)</f>
        <v>0</v>
      </c>
      <c r="D11" s="279"/>
      <c r="E11" s="281">
        <f t="shared" ref="E11:E43" si="2">IFERROR(VLOOKUP(A11,Tabla_Comp_Presup,7,FALSE),0)</f>
        <v>0</v>
      </c>
      <c r="F11" s="281">
        <f t="shared" ref="F11:F43" si="3">ROUND(D11*E11,15)</f>
        <v>0</v>
      </c>
      <c r="J11">
        <v>2.8</v>
      </c>
    </row>
    <row r="12" spans="1:10" ht="20.100000000000001" customHeight="1" x14ac:dyDescent="0.2">
      <c r="A12" s="268"/>
      <c r="B12" s="270">
        <f t="shared" si="0"/>
        <v>0</v>
      </c>
      <c r="C12" s="271">
        <f t="shared" si="1"/>
        <v>0</v>
      </c>
      <c r="D12" s="279"/>
      <c r="E12" s="281">
        <f t="shared" si="2"/>
        <v>0</v>
      </c>
      <c r="F12" s="281">
        <f t="shared" si="3"/>
        <v>0</v>
      </c>
      <c r="J12">
        <v>0.43</v>
      </c>
    </row>
    <row r="13" spans="1:10" ht="20.100000000000001" customHeight="1" x14ac:dyDescent="0.2">
      <c r="A13" s="268"/>
      <c r="B13" s="270">
        <f t="shared" si="0"/>
        <v>0</v>
      </c>
      <c r="C13" s="271">
        <f t="shared" si="1"/>
        <v>0</v>
      </c>
      <c r="D13" s="279"/>
      <c r="E13" s="281">
        <f t="shared" si="2"/>
        <v>0</v>
      </c>
      <c r="F13" s="281">
        <f t="shared" si="3"/>
        <v>0</v>
      </c>
      <c r="J13">
        <v>2.98</v>
      </c>
    </row>
    <row r="14" spans="1:10" ht="20.100000000000001" customHeight="1" x14ac:dyDescent="0.2">
      <c r="A14" s="268"/>
      <c r="B14" s="270">
        <f t="shared" si="0"/>
        <v>0</v>
      </c>
      <c r="C14" s="271">
        <f t="shared" si="1"/>
        <v>0</v>
      </c>
      <c r="D14" s="279"/>
      <c r="E14" s="281">
        <f t="shared" si="2"/>
        <v>0</v>
      </c>
      <c r="F14" s="281">
        <f t="shared" si="3"/>
        <v>0</v>
      </c>
      <c r="J14">
        <v>11.84</v>
      </c>
    </row>
    <row r="15" spans="1:10" ht="20.100000000000001" customHeight="1" x14ac:dyDescent="0.2">
      <c r="A15" s="268"/>
      <c r="B15" s="270">
        <f t="shared" si="0"/>
        <v>0</v>
      </c>
      <c r="C15" s="271">
        <f t="shared" si="1"/>
        <v>0</v>
      </c>
      <c r="D15" s="279"/>
      <c r="E15" s="281">
        <f t="shared" si="2"/>
        <v>0</v>
      </c>
      <c r="F15" s="281">
        <f t="shared" si="3"/>
        <v>0</v>
      </c>
      <c r="J15">
        <v>1</v>
      </c>
    </row>
    <row r="16" spans="1:10" ht="20.100000000000001" customHeight="1" x14ac:dyDescent="0.2">
      <c r="A16" s="268"/>
      <c r="B16" s="270">
        <f t="shared" si="0"/>
        <v>0</v>
      </c>
      <c r="C16" s="271">
        <f t="shared" si="1"/>
        <v>0</v>
      </c>
      <c r="D16" s="279"/>
      <c r="E16" s="281">
        <f t="shared" si="2"/>
        <v>0</v>
      </c>
      <c r="F16" s="281">
        <f t="shared" si="3"/>
        <v>0</v>
      </c>
      <c r="J16">
        <v>110.2</v>
      </c>
    </row>
    <row r="17" spans="1:10" ht="20.100000000000001" customHeight="1" x14ac:dyDescent="0.2">
      <c r="A17" s="268"/>
      <c r="B17" s="270">
        <f t="shared" si="0"/>
        <v>0</v>
      </c>
      <c r="C17" s="271">
        <f t="shared" si="1"/>
        <v>0</v>
      </c>
      <c r="D17" s="279"/>
      <c r="E17" s="281">
        <f t="shared" si="2"/>
        <v>0</v>
      </c>
      <c r="F17" s="281">
        <f>ROUND(D17*E17,15)</f>
        <v>0</v>
      </c>
      <c r="J17">
        <v>8.07</v>
      </c>
    </row>
    <row r="18" spans="1:10" ht="20.100000000000001" customHeight="1" x14ac:dyDescent="0.2">
      <c r="A18" s="268"/>
      <c r="B18" s="270">
        <f t="shared" si="0"/>
        <v>0</v>
      </c>
      <c r="C18" s="271">
        <f t="shared" si="1"/>
        <v>0</v>
      </c>
      <c r="D18" s="279"/>
      <c r="E18" s="281">
        <f t="shared" si="2"/>
        <v>0</v>
      </c>
      <c r="F18" s="281">
        <f>ROUND(D18*E18,15)</f>
        <v>0</v>
      </c>
    </row>
    <row r="19" spans="1:10" ht="20.100000000000001" customHeight="1" x14ac:dyDescent="0.2">
      <c r="A19" s="268"/>
      <c r="B19" s="270">
        <f t="shared" si="0"/>
        <v>0</v>
      </c>
      <c r="C19" s="271">
        <f t="shared" si="1"/>
        <v>0</v>
      </c>
      <c r="D19" s="279"/>
      <c r="E19" s="281">
        <f t="shared" si="2"/>
        <v>0</v>
      </c>
      <c r="F19" s="281">
        <f t="shared" si="3"/>
        <v>0</v>
      </c>
    </row>
    <row r="20" spans="1:10" ht="20.100000000000001" customHeight="1" x14ac:dyDescent="0.2">
      <c r="A20" s="268"/>
      <c r="B20" s="270">
        <f t="shared" si="0"/>
        <v>0</v>
      </c>
      <c r="C20" s="271">
        <f t="shared" si="1"/>
        <v>0</v>
      </c>
      <c r="D20" s="279"/>
      <c r="E20" s="281">
        <f t="shared" si="2"/>
        <v>0</v>
      </c>
      <c r="F20" s="281">
        <f t="shared" si="3"/>
        <v>0</v>
      </c>
      <c r="J20">
        <v>90.86</v>
      </c>
    </row>
    <row r="21" spans="1:10" ht="20.100000000000001" customHeight="1" x14ac:dyDescent="0.2">
      <c r="A21" s="268"/>
      <c r="B21" s="270">
        <f t="shared" si="0"/>
        <v>0</v>
      </c>
      <c r="C21" s="271">
        <f t="shared" si="1"/>
        <v>0</v>
      </c>
      <c r="D21" s="279"/>
      <c r="E21" s="281">
        <f t="shared" si="2"/>
        <v>0</v>
      </c>
      <c r="F21" s="281">
        <f t="shared" si="3"/>
        <v>0</v>
      </c>
      <c r="J21">
        <v>100.69</v>
      </c>
    </row>
    <row r="22" spans="1:10" ht="20.100000000000001" customHeight="1" x14ac:dyDescent="0.2">
      <c r="A22" s="268"/>
      <c r="B22" s="270">
        <f t="shared" si="0"/>
        <v>0</v>
      </c>
      <c r="C22" s="271">
        <f t="shared" si="1"/>
        <v>0</v>
      </c>
      <c r="D22" s="279"/>
      <c r="E22" s="281">
        <f t="shared" si="2"/>
        <v>0</v>
      </c>
      <c r="F22" s="281">
        <f t="shared" si="3"/>
        <v>0</v>
      </c>
      <c r="J22">
        <v>100.69</v>
      </c>
    </row>
    <row r="23" spans="1:10" ht="20.100000000000001" customHeight="1" x14ac:dyDescent="0.2">
      <c r="A23" s="268"/>
      <c r="B23" s="270">
        <f t="shared" si="0"/>
        <v>0</v>
      </c>
      <c r="C23" s="271">
        <f t="shared" si="1"/>
        <v>0</v>
      </c>
      <c r="D23" s="279"/>
      <c r="E23" s="281">
        <f t="shared" si="2"/>
        <v>0</v>
      </c>
      <c r="F23" s="281">
        <f t="shared" si="3"/>
        <v>0</v>
      </c>
      <c r="J23">
        <v>64.86</v>
      </c>
    </row>
    <row r="24" spans="1:10" ht="20.100000000000001" customHeight="1" x14ac:dyDescent="0.2">
      <c r="A24" s="268"/>
      <c r="B24" s="270">
        <f t="shared" si="0"/>
        <v>0</v>
      </c>
      <c r="C24" s="271">
        <f t="shared" si="1"/>
        <v>0</v>
      </c>
      <c r="D24" s="279"/>
      <c r="E24" s="281">
        <f t="shared" si="2"/>
        <v>0</v>
      </c>
      <c r="F24" s="281">
        <f t="shared" si="3"/>
        <v>0</v>
      </c>
      <c r="J24">
        <v>1</v>
      </c>
    </row>
    <row r="25" spans="1:10" ht="20.100000000000001" customHeight="1" x14ac:dyDescent="0.2">
      <c r="A25" s="268"/>
      <c r="B25" s="270">
        <f t="shared" si="0"/>
        <v>0</v>
      </c>
      <c r="C25" s="271">
        <f t="shared" si="1"/>
        <v>0</v>
      </c>
      <c r="D25" s="279"/>
      <c r="E25" s="281">
        <f t="shared" si="2"/>
        <v>0</v>
      </c>
      <c r="F25" s="281">
        <f t="shared" si="3"/>
        <v>0</v>
      </c>
      <c r="J25">
        <v>20.14</v>
      </c>
    </row>
    <row r="26" spans="1:10" ht="20.100000000000001" customHeight="1" x14ac:dyDescent="0.2">
      <c r="A26" s="268"/>
      <c r="B26" s="270">
        <f t="shared" si="0"/>
        <v>0</v>
      </c>
      <c r="C26" s="271">
        <f t="shared" si="1"/>
        <v>0</v>
      </c>
      <c r="D26" s="279"/>
      <c r="E26" s="281">
        <f t="shared" si="2"/>
        <v>0</v>
      </c>
      <c r="F26" s="281">
        <f t="shared" si="3"/>
        <v>0</v>
      </c>
      <c r="J26">
        <v>189.77</v>
      </c>
    </row>
    <row r="27" spans="1:10" ht="20.100000000000001" customHeight="1" x14ac:dyDescent="0.2">
      <c r="A27" s="268"/>
      <c r="B27" s="270">
        <f t="shared" si="0"/>
        <v>0</v>
      </c>
      <c r="C27" s="271">
        <f t="shared" si="1"/>
        <v>0</v>
      </c>
      <c r="D27" s="279"/>
      <c r="E27" s="281">
        <f t="shared" si="2"/>
        <v>0</v>
      </c>
      <c r="F27" s="281">
        <f t="shared" si="3"/>
        <v>0</v>
      </c>
      <c r="J27">
        <v>20.14</v>
      </c>
    </row>
    <row r="28" spans="1:10" ht="20.100000000000001" customHeight="1" x14ac:dyDescent="0.2">
      <c r="A28" s="268"/>
      <c r="B28" s="270">
        <f t="shared" si="0"/>
        <v>0</v>
      </c>
      <c r="C28" s="271">
        <f t="shared" si="1"/>
        <v>0</v>
      </c>
      <c r="D28" s="279"/>
      <c r="E28" s="281">
        <f t="shared" si="2"/>
        <v>0</v>
      </c>
      <c r="F28" s="281">
        <f t="shared" si="3"/>
        <v>0</v>
      </c>
      <c r="J28">
        <v>65.239999999999995</v>
      </c>
    </row>
    <row r="29" spans="1:10" ht="20.100000000000001" customHeight="1" x14ac:dyDescent="0.2">
      <c r="A29" s="268"/>
      <c r="B29" s="270">
        <f>IFERROR(VLOOKUP(A29,Tabla_Datos,2,FALSE),0)</f>
        <v>0</v>
      </c>
      <c r="C29" s="271">
        <f>IFERROR(VLOOKUP(A29,Tabla_Datos,3,FALSE),0)</f>
        <v>0</v>
      </c>
      <c r="D29" s="279"/>
      <c r="E29" s="281">
        <f>IFERROR(VLOOKUP(A29,Tabla_Comp_Presup,7,FALSE),0)</f>
        <v>0</v>
      </c>
      <c r="F29" s="281">
        <f>ROUND(D29*E29,15)</f>
        <v>0</v>
      </c>
      <c r="J29">
        <v>167.44</v>
      </c>
    </row>
    <row r="30" spans="1:10" ht="20.100000000000001" customHeight="1" x14ac:dyDescent="0.2">
      <c r="A30" s="268"/>
      <c r="B30" s="270">
        <f t="shared" si="0"/>
        <v>0</v>
      </c>
      <c r="C30" s="271">
        <f t="shared" si="1"/>
        <v>0</v>
      </c>
      <c r="D30" s="279"/>
      <c r="E30" s="281">
        <f t="shared" si="2"/>
        <v>0</v>
      </c>
      <c r="F30" s="281">
        <f t="shared" si="3"/>
        <v>0</v>
      </c>
      <c r="J30">
        <v>20.85</v>
      </c>
    </row>
    <row r="31" spans="1:10" ht="20.100000000000001" customHeight="1" x14ac:dyDescent="0.2">
      <c r="A31" s="268"/>
      <c r="B31" s="270">
        <f>IFERROR(VLOOKUP(A31,Tabla_Datos,2,FALSE),0)</f>
        <v>0</v>
      </c>
      <c r="C31" s="271">
        <f>IFERROR(VLOOKUP(A31,Tabla_Datos,3,FALSE),0)</f>
        <v>0</v>
      </c>
      <c r="D31" s="279"/>
      <c r="E31" s="281">
        <f>IFERROR(VLOOKUP(A31,Tabla_Comp_Presup,7,FALSE),0)</f>
        <v>0</v>
      </c>
      <c r="F31" s="281">
        <f>ROUND(D31*E31,15)</f>
        <v>0</v>
      </c>
      <c r="J31">
        <v>93.47</v>
      </c>
    </row>
    <row r="32" spans="1:10" ht="20.100000000000001" customHeight="1" x14ac:dyDescent="0.2">
      <c r="A32" s="268"/>
      <c r="B32" s="270">
        <f t="shared" si="0"/>
        <v>0</v>
      </c>
      <c r="C32" s="271">
        <f t="shared" si="1"/>
        <v>0</v>
      </c>
      <c r="D32" s="279"/>
      <c r="E32" s="281">
        <f t="shared" si="2"/>
        <v>0</v>
      </c>
      <c r="F32" s="281">
        <f t="shared" si="3"/>
        <v>0</v>
      </c>
      <c r="J32">
        <v>1</v>
      </c>
    </row>
    <row r="33" spans="1:10" ht="20.100000000000001" customHeight="1" x14ac:dyDescent="0.2">
      <c r="A33" s="268"/>
      <c r="B33" s="270">
        <f t="shared" si="0"/>
        <v>0</v>
      </c>
      <c r="C33" s="271">
        <f t="shared" si="1"/>
        <v>0</v>
      </c>
      <c r="D33" s="279"/>
      <c r="E33" s="281">
        <f t="shared" si="2"/>
        <v>0</v>
      </c>
      <c r="F33" s="281">
        <f t="shared" si="3"/>
        <v>0</v>
      </c>
      <c r="J33">
        <v>2.8</v>
      </c>
    </row>
    <row r="34" spans="1:10" ht="20.100000000000001" customHeight="1" x14ac:dyDescent="0.2">
      <c r="A34" s="268"/>
      <c r="B34" s="270">
        <f t="shared" si="0"/>
        <v>0</v>
      </c>
      <c r="C34" s="271">
        <f t="shared" si="1"/>
        <v>0</v>
      </c>
      <c r="D34" s="279"/>
      <c r="E34" s="281">
        <f t="shared" si="2"/>
        <v>0</v>
      </c>
      <c r="F34" s="281">
        <f t="shared" si="3"/>
        <v>0</v>
      </c>
      <c r="J34">
        <v>35.39</v>
      </c>
    </row>
    <row r="35" spans="1:10" ht="20.100000000000001" customHeight="1" x14ac:dyDescent="0.2">
      <c r="A35" s="268"/>
      <c r="B35" s="270">
        <f t="shared" si="0"/>
        <v>0</v>
      </c>
      <c r="C35" s="271">
        <f t="shared" si="1"/>
        <v>0</v>
      </c>
      <c r="D35" s="279"/>
      <c r="E35" s="281">
        <f t="shared" si="2"/>
        <v>0</v>
      </c>
      <c r="F35" s="281">
        <f t="shared" si="3"/>
        <v>0</v>
      </c>
      <c r="J35">
        <v>14.67</v>
      </c>
    </row>
    <row r="36" spans="1:10" ht="20.100000000000001" customHeight="1" x14ac:dyDescent="0.2">
      <c r="A36" s="268"/>
      <c r="B36" s="270">
        <f t="shared" si="0"/>
        <v>0</v>
      </c>
      <c r="C36" s="271">
        <f t="shared" si="1"/>
        <v>0</v>
      </c>
      <c r="D36" s="279"/>
      <c r="E36" s="281">
        <f t="shared" si="2"/>
        <v>0</v>
      </c>
      <c r="F36" s="281">
        <f t="shared" si="3"/>
        <v>0</v>
      </c>
      <c r="J36">
        <v>167.44</v>
      </c>
    </row>
    <row r="37" spans="1:10" ht="20.100000000000001" customHeight="1" x14ac:dyDescent="0.2">
      <c r="A37" s="268"/>
      <c r="B37" s="270">
        <f t="shared" si="0"/>
        <v>0</v>
      </c>
      <c r="C37" s="271">
        <f t="shared" si="1"/>
        <v>0</v>
      </c>
      <c r="D37" s="279"/>
      <c r="E37" s="281">
        <f t="shared" si="2"/>
        <v>0</v>
      </c>
      <c r="F37" s="281">
        <f t="shared" si="3"/>
        <v>0</v>
      </c>
      <c r="H37" s="453"/>
      <c r="J37">
        <v>304.08999999999997</v>
      </c>
    </row>
    <row r="38" spans="1:10" ht="20.100000000000001" customHeight="1" x14ac:dyDescent="0.2">
      <c r="A38" s="268"/>
      <c r="B38" s="270">
        <f t="shared" si="0"/>
        <v>0</v>
      </c>
      <c r="C38" s="271">
        <f t="shared" si="1"/>
        <v>0</v>
      </c>
      <c r="D38" s="279"/>
      <c r="E38" s="281">
        <f t="shared" si="2"/>
        <v>0</v>
      </c>
      <c r="F38" s="281">
        <f t="shared" si="3"/>
        <v>0</v>
      </c>
      <c r="J38">
        <v>7.99</v>
      </c>
    </row>
    <row r="39" spans="1:10" ht="20.100000000000001" customHeight="1" x14ac:dyDescent="0.2">
      <c r="A39" s="268"/>
      <c r="B39" s="270">
        <f t="shared" si="0"/>
        <v>0</v>
      </c>
      <c r="C39" s="271">
        <f t="shared" si="1"/>
        <v>0</v>
      </c>
      <c r="D39" s="279"/>
      <c r="E39" s="281">
        <f t="shared" si="2"/>
        <v>0</v>
      </c>
      <c r="F39" s="281">
        <f t="shared" si="3"/>
        <v>0</v>
      </c>
      <c r="J39">
        <v>0.42</v>
      </c>
    </row>
    <row r="40" spans="1:10" ht="20.100000000000001" customHeight="1" x14ac:dyDescent="0.2">
      <c r="A40" s="268"/>
      <c r="B40" s="270">
        <f t="shared" si="0"/>
        <v>0</v>
      </c>
      <c r="C40" s="271">
        <f t="shared" si="1"/>
        <v>0</v>
      </c>
      <c r="D40" s="279"/>
      <c r="E40" s="281">
        <f t="shared" si="2"/>
        <v>0</v>
      </c>
      <c r="F40" s="281">
        <f t="shared" si="3"/>
        <v>0</v>
      </c>
      <c r="J40">
        <v>2.8</v>
      </c>
    </row>
    <row r="41" spans="1:10" ht="20.100000000000001" customHeight="1" x14ac:dyDescent="0.2">
      <c r="A41" s="268"/>
      <c r="B41" s="270">
        <f t="shared" si="0"/>
        <v>0</v>
      </c>
      <c r="C41" s="271">
        <f t="shared" si="1"/>
        <v>0</v>
      </c>
      <c r="D41" s="279"/>
      <c r="E41" s="281">
        <f t="shared" si="2"/>
        <v>0</v>
      </c>
      <c r="F41" s="281">
        <f t="shared" si="3"/>
        <v>0</v>
      </c>
      <c r="J41">
        <v>1</v>
      </c>
    </row>
    <row r="42" spans="1:10" ht="20.100000000000001" customHeight="1" x14ac:dyDescent="0.2">
      <c r="A42" s="268"/>
      <c r="B42" s="270">
        <f t="shared" si="0"/>
        <v>0</v>
      </c>
      <c r="C42" s="271">
        <f t="shared" si="1"/>
        <v>0</v>
      </c>
      <c r="D42" s="279"/>
      <c r="E42" s="281">
        <f t="shared" si="2"/>
        <v>0</v>
      </c>
      <c r="F42" s="281">
        <f t="shared" si="3"/>
        <v>0</v>
      </c>
      <c r="J42">
        <v>1</v>
      </c>
    </row>
    <row r="43" spans="1:10" ht="20.100000000000001" customHeight="1" x14ac:dyDescent="0.2">
      <c r="A43" s="268"/>
      <c r="B43" s="270">
        <f t="shared" si="0"/>
        <v>0</v>
      </c>
      <c r="C43" s="271">
        <f t="shared" si="1"/>
        <v>0</v>
      </c>
      <c r="D43" s="279"/>
      <c r="E43" s="281">
        <f t="shared" si="2"/>
        <v>0</v>
      </c>
      <c r="F43" s="281">
        <f t="shared" si="3"/>
        <v>0</v>
      </c>
      <c r="J43">
        <v>1</v>
      </c>
    </row>
    <row r="44" spans="1:10" ht="20.100000000000001" customHeight="1" x14ac:dyDescent="0.2">
      <c r="A44" s="268"/>
      <c r="B44" s="270">
        <f>IFERROR(VLOOKUP(A44,Tabla_Datos,2,FALSE),0)</f>
        <v>0</v>
      </c>
      <c r="C44" s="271">
        <f>IFERROR(VLOOKUP(A44,Tabla_Datos,3,FALSE),0)</f>
        <v>0</v>
      </c>
      <c r="D44" s="279"/>
      <c r="E44" s="281">
        <f>IFERROR(VLOOKUP(A44,Tabla_Comp_Presup,7,FALSE),0)</f>
        <v>0</v>
      </c>
      <c r="F44" s="281">
        <f>ROUND(D44*E44,15)</f>
        <v>0</v>
      </c>
      <c r="J44">
        <v>1</v>
      </c>
    </row>
    <row r="45" spans="1:10" ht="20.100000000000001" customHeight="1" x14ac:dyDescent="0.2">
      <c r="A45" s="268"/>
      <c r="B45" s="270">
        <f>IFERROR(VLOOKUP(A45,Tabla_Datos,2,FALSE),0)</f>
        <v>0</v>
      </c>
      <c r="C45" s="271">
        <f>IFERROR(VLOOKUP(A45,Tabla_Datos,3,FALSE),0)</f>
        <v>0</v>
      </c>
      <c r="D45" s="279"/>
      <c r="E45" s="281">
        <f>IFERROR(VLOOKUP(A45,Tabla_Comp_Presup,7,FALSE),0)</f>
        <v>0</v>
      </c>
      <c r="F45" s="281">
        <f>ROUND(D45*E45,15)</f>
        <v>0</v>
      </c>
      <c r="J45">
        <v>1</v>
      </c>
    </row>
    <row r="46" spans="1:10" ht="20.100000000000001" customHeight="1" x14ac:dyDescent="0.2">
      <c r="A46" s="268"/>
      <c r="B46" s="270">
        <f>IFERROR(VLOOKUP(A46,Tabla_Datos,2,FALSE),0)</f>
        <v>0</v>
      </c>
      <c r="C46" s="271">
        <f>IFERROR(VLOOKUP(A46,Tabla_Datos,3,FALSE),0)</f>
        <v>0</v>
      </c>
      <c r="D46" s="279"/>
      <c r="E46" s="281">
        <f ca="1">IFERROR(VLOOKUP(A46,Tabla_Comp_Presup,7,FALSE),0)</f>
        <v>0</v>
      </c>
      <c r="F46" s="281">
        <f ca="1">ROUND(D46*E46,15)</f>
        <v>0</v>
      </c>
    </row>
    <row r="47" spans="1:10" ht="20.100000000000001" customHeight="1" x14ac:dyDescent="0.2">
      <c r="A47" s="268"/>
      <c r="B47" s="270"/>
      <c r="C47" s="271"/>
      <c r="D47" s="279"/>
      <c r="E47" s="281"/>
      <c r="F47" s="281"/>
    </row>
    <row r="48" spans="1:10" ht="20.100000000000001" customHeight="1" x14ac:dyDescent="0.2">
      <c r="A48" s="268"/>
      <c r="B48" s="270"/>
      <c r="C48" s="271"/>
      <c r="D48" s="279"/>
      <c r="E48" s="281"/>
      <c r="F48" s="281"/>
    </row>
    <row r="49" spans="1:6" ht="20.100000000000001" customHeight="1" x14ac:dyDescent="0.2">
      <c r="A49" s="235"/>
      <c r="B49" s="236"/>
      <c r="C49" s="237"/>
      <c r="D49" s="238"/>
      <c r="E49" s="239"/>
      <c r="F49" s="239"/>
    </row>
    <row r="50" spans="1:6" ht="20.100000000000001" customHeight="1" x14ac:dyDescent="0.2">
      <c r="A50" s="283" t="s">
        <v>1106</v>
      </c>
      <c r="B50" s="284" t="s">
        <v>1166</v>
      </c>
      <c r="C50" s="285"/>
      <c r="D50" s="286"/>
      <c r="E50" s="287"/>
      <c r="F50" s="288">
        <f ca="1">ROUND(F59/Coef_Paso_Vivienda,2)</f>
        <v>0</v>
      </c>
    </row>
    <row r="51" spans="1:6" ht="20.100000000000001" customHeight="1" x14ac:dyDescent="0.2">
      <c r="A51" s="289" t="s">
        <v>1107</v>
      </c>
      <c r="B51" s="290" t="str">
        <f>"COSTO FINANCIERO  "&amp;ROUND(Costo_Financiero*100,2)&amp;" % de ( 1 )"</f>
        <v>COSTO FINANCIERO  0 % de ( 1 )</v>
      </c>
      <c r="C51" s="291">
        <f>Costo_Financiero</f>
        <v>0</v>
      </c>
      <c r="D51" s="292"/>
      <c r="E51" s="293">
        <f>Costo_Financiero</f>
        <v>0</v>
      </c>
      <c r="F51" s="294">
        <f ca="1">ROUND(F50*Costo_Financiero,2)</f>
        <v>0</v>
      </c>
    </row>
    <row r="52" spans="1:6" ht="20.100000000000001" customHeight="1" x14ac:dyDescent="0.2">
      <c r="A52" s="289" t="s">
        <v>1108</v>
      </c>
      <c r="B52" s="290" t="s">
        <v>1162</v>
      </c>
      <c r="C52" s="291"/>
      <c r="D52" s="292"/>
      <c r="E52" s="295"/>
      <c r="F52" s="294">
        <f ca="1">F50+F51</f>
        <v>0</v>
      </c>
    </row>
    <row r="53" spans="1:6" ht="20.100000000000001" customHeight="1" x14ac:dyDescent="0.2">
      <c r="A53" s="289" t="s">
        <v>1109</v>
      </c>
      <c r="B53" s="296" t="str">
        <f>CONCATENATE("GASTOS GENERALES  ",ROUND(Gastos_Generales*100,3)," % de ( 3 )")</f>
        <v>GASTOS GENERALES  0 % de ( 3 )</v>
      </c>
      <c r="C53" s="293">
        <f>Gastos_Generales</f>
        <v>0</v>
      </c>
      <c r="D53" s="297"/>
      <c r="E53" s="295"/>
      <c r="F53" s="294">
        <f ca="1">ROUND(F52*Gastos_Generales,2)</f>
        <v>0</v>
      </c>
    </row>
    <row r="54" spans="1:6" ht="20.100000000000001" customHeight="1" x14ac:dyDescent="0.2">
      <c r="A54" s="289" t="s">
        <v>1110</v>
      </c>
      <c r="B54" s="296" t="str">
        <f>CONCATENATE("BENEFICIOS  ",ROUND(Beneficio*100,2)," % de ( 3 )")</f>
        <v>BENEFICIOS  0 % de ( 3 )</v>
      </c>
      <c r="C54" s="293">
        <f>Beneficio</f>
        <v>0</v>
      </c>
      <c r="D54" s="297"/>
      <c r="E54" s="295"/>
      <c r="F54" s="294">
        <f ca="1">ROUND(F52*Beneficio,2)</f>
        <v>0</v>
      </c>
    </row>
    <row r="55" spans="1:6" ht="20.100000000000001" customHeight="1" x14ac:dyDescent="0.2">
      <c r="A55" s="289">
        <v>6</v>
      </c>
      <c r="B55" s="290" t="s">
        <v>1163</v>
      </c>
      <c r="C55" s="295"/>
      <c r="D55" s="297"/>
      <c r="E55" s="295"/>
      <c r="F55" s="294">
        <f ca="1">F52+F53+F54</f>
        <v>0</v>
      </c>
    </row>
    <row r="56" spans="1:6" ht="20.100000000000001" customHeight="1" x14ac:dyDescent="0.2">
      <c r="A56" s="289" t="s">
        <v>1164</v>
      </c>
      <c r="B56" s="296" t="str">
        <f>CONCATENATE("INGRESOS BRUTOS Y LOTE HOGAR  ",ROUND(Ingresos_Brutos*100,2)," % de ( 6 )")</f>
        <v>INGRESOS BRUTOS Y LOTE HOGAR  2,4 % de ( 6 )</v>
      </c>
      <c r="C56" s="293">
        <f>Ingresos_Brutos</f>
        <v>2.4E-2</v>
      </c>
      <c r="D56" s="297"/>
      <c r="E56" s="295"/>
      <c r="F56" s="294">
        <f ca="1">IF(Ingresos_Brutos=0,,ROUND(Ingresos_Brutos*F55,2))</f>
        <v>0</v>
      </c>
    </row>
    <row r="57" spans="1:6" ht="20.100000000000001" customHeight="1" x14ac:dyDescent="0.2">
      <c r="A57" s="298" t="s">
        <v>1165</v>
      </c>
      <c r="B57" s="299" t="str">
        <f>CONCATENATE("IMPUESTO AL VALOR AGREGADO ",IVA_Vivienda*100," % de ( 6 )")</f>
        <v>IMPUESTO AL VALOR AGREGADO 10,5 % de ( 6 )</v>
      </c>
      <c r="C57" s="300">
        <f>IVA_Vivienda</f>
        <v>0.105</v>
      </c>
      <c r="D57" s="301"/>
      <c r="E57" s="302"/>
      <c r="F57" s="303">
        <f ca="1">IF(IVA_Vivienda=0,,ROUND(IVA_Vivienda*F55,2))</f>
        <v>0</v>
      </c>
    </row>
    <row r="58" spans="1:6" ht="20.100000000000001" customHeight="1" x14ac:dyDescent="0.2">
      <c r="A58" s="100"/>
      <c r="B58" s="95"/>
      <c r="C58" s="95"/>
      <c r="D58" s="96"/>
      <c r="E58" s="97"/>
      <c r="F58" s="2"/>
    </row>
    <row r="59" spans="1:6" ht="20.100000000000001" customHeight="1" x14ac:dyDescent="0.2">
      <c r="A59" s="304"/>
      <c r="B59" s="305" t="str">
        <f>"PRECIO TOTAL VIVENDA"</f>
        <v>PRECIO TOTAL VIVENDA</v>
      </c>
      <c r="C59" s="305"/>
      <c r="D59" s="306"/>
      <c r="E59" s="307"/>
      <c r="F59" s="308">
        <f ca="1">SUM(F11:F48)</f>
        <v>0</v>
      </c>
    </row>
  </sheetData>
  <mergeCells count="7">
    <mergeCell ref="A1:F1"/>
    <mergeCell ref="A7:A8"/>
    <mergeCell ref="B7:B8"/>
    <mergeCell ref="C7:C8"/>
    <mergeCell ref="D7:D8"/>
    <mergeCell ref="E7:E8"/>
    <mergeCell ref="F7:F8"/>
  </mergeCells>
  <conditionalFormatting sqref="A31:B31 A11:A49 B10:B49">
    <cfRule type="expression" dxfId="135" priority="3" stopIfTrue="1">
      <formula>$C10=0</formula>
    </cfRule>
  </conditionalFormatting>
  <conditionalFormatting sqref="A10">
    <cfRule type="expression" dxfId="134" priority="2" stopIfTrue="1">
      <formula>$C10=0</formula>
    </cfRule>
  </conditionalFormatting>
  <conditionalFormatting sqref="F50">
    <cfRule type="expression" dxfId="133" priority="1" stopIfTrue="1">
      <formula>#REF!=1</formula>
    </cfRule>
  </conditionalFormatting>
  <pageMargins left="0.39370078740157483" right="0.39370078740157483" top="0.74803149606299213" bottom="0.74803149606299213" header="0.31496062992125984" footer="0.31496062992125984"/>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66</vt:i4>
      </vt:variant>
    </vt:vector>
  </HeadingPairs>
  <TitlesOfParts>
    <vt:vector size="86" baseType="lpstr">
      <vt:lpstr>Datos</vt:lpstr>
      <vt:lpstr>RGP</vt:lpstr>
      <vt:lpstr>Proto  M 17</vt:lpstr>
      <vt:lpstr>Proto M1 17</vt:lpstr>
      <vt:lpstr>P-G</vt:lpstr>
      <vt:lpstr>P-F (1 PISO)</vt:lpstr>
      <vt:lpstr>P-H (1 PISO)</vt:lpstr>
      <vt:lpstr>P-G (1 PISO)</vt:lpstr>
      <vt:lpstr>P-G (2 PISO)</vt:lpstr>
      <vt:lpstr>Espacios Comunes</vt:lpstr>
      <vt:lpstr>INFRA</vt:lpstr>
      <vt:lpstr>CyP</vt:lpstr>
      <vt:lpstr>PTyCI</vt:lpstr>
      <vt:lpstr>AP</vt:lpstr>
      <vt:lpstr>Grafico Avance Obra</vt:lpstr>
      <vt:lpstr>Gráfico Curva Inversiones</vt:lpstr>
      <vt:lpstr>Insumos</vt:lpstr>
      <vt:lpstr>Indices</vt:lpstr>
      <vt:lpstr>Códigos Items</vt:lpstr>
      <vt:lpstr>Gastos Generales</vt:lpstr>
      <vt:lpstr>Anticipo_Financiero</vt:lpstr>
      <vt:lpstr>AP!Área_de_impresión</vt:lpstr>
      <vt:lpstr>CyP!Área_de_impresión</vt:lpstr>
      <vt:lpstr>PTyCI!Área_de_impresión</vt:lpstr>
      <vt:lpstr>RGP!Área_de_impresión</vt:lpstr>
      <vt:lpstr>Beneficio</vt:lpstr>
      <vt:lpstr>Cant_Viv_P1</vt:lpstr>
      <vt:lpstr>Cant_Viv_P2</vt:lpstr>
      <vt:lpstr>Cant_Viv_P3</vt:lpstr>
      <vt:lpstr>Cant_Viv_P4</vt:lpstr>
      <vt:lpstr>Cant_Viv_P5</vt:lpstr>
      <vt:lpstr>Cant_Viv_P6</vt:lpstr>
      <vt:lpstr>Cant_Viv_P7</vt:lpstr>
      <vt:lpstr>Coef_Paso_Infraestructura</vt:lpstr>
      <vt:lpstr>Coef_Paso_Vivienda</vt:lpstr>
      <vt:lpstr>Comitente</vt:lpstr>
      <vt:lpstr>Contratista</vt:lpstr>
      <vt:lpstr>Costo_Financiero</vt:lpstr>
      <vt:lpstr>EspacioComun</vt:lpstr>
      <vt:lpstr>Fecha_Apertura</vt:lpstr>
      <vt:lpstr>Fecha_Base</vt:lpstr>
      <vt:lpstr>Gastos_Generales</vt:lpstr>
      <vt:lpstr>Ingresos_Brutos</vt:lpstr>
      <vt:lpstr>IVA_Infraestructura</vt:lpstr>
      <vt:lpstr>IVA_Vivienda</vt:lpstr>
      <vt:lpstr>Monto_Oferta</vt:lpstr>
      <vt:lpstr>Monto_Terreno</vt:lpstr>
      <vt:lpstr>Número_Expediente</vt:lpstr>
      <vt:lpstr>Número_Licitación</vt:lpstr>
      <vt:lpstr>Obra</vt:lpstr>
      <vt:lpstr>Plazo_Obra</vt:lpstr>
      <vt:lpstr>Precio_Infra</vt:lpstr>
      <vt:lpstr>Precio_P1</vt:lpstr>
      <vt:lpstr>Precio_P2</vt:lpstr>
      <vt:lpstr>Precio_P3</vt:lpstr>
      <vt:lpstr>PRECIO_P4</vt:lpstr>
      <vt:lpstr>PRECIO_P5</vt:lpstr>
      <vt:lpstr>PRECIO_P6</vt:lpstr>
      <vt:lpstr>PRECIO_P7</vt:lpstr>
      <vt:lpstr>Presupuesto_Oficial</vt:lpstr>
      <vt:lpstr>Tabla_AP</vt:lpstr>
      <vt:lpstr>Tabla_Código_Items</vt:lpstr>
      <vt:lpstr>Tabla_Comp_Presup</vt:lpstr>
      <vt:lpstr>Tabla_CyP</vt:lpstr>
      <vt:lpstr>Tabla_Datos</vt:lpstr>
      <vt:lpstr>Tabla_EC</vt:lpstr>
      <vt:lpstr>Tabla_Indices</vt:lpstr>
      <vt:lpstr>Tabla_Infraestructura</vt:lpstr>
      <vt:lpstr>Tabla_Insumos</vt:lpstr>
      <vt:lpstr>Tabla_NumeroItem</vt:lpstr>
      <vt:lpstr>Tabla_P1</vt:lpstr>
      <vt:lpstr>Tabla_P2</vt:lpstr>
      <vt:lpstr>Tabla_P3</vt:lpstr>
      <vt:lpstr>Tabla_P4</vt:lpstr>
      <vt:lpstr>Tabla_P5</vt:lpstr>
      <vt:lpstr>Tabla_P6</vt:lpstr>
      <vt:lpstr>Tabla_P7</vt:lpstr>
      <vt:lpstr>Tipo_P1</vt:lpstr>
      <vt:lpstr>Tipo_P2</vt:lpstr>
      <vt:lpstr>Tipo_P3</vt:lpstr>
      <vt:lpstr>Tipo_P4</vt:lpstr>
      <vt:lpstr>Tipo_P5</vt:lpstr>
      <vt:lpstr>Tipo_P6</vt:lpstr>
      <vt:lpstr>Tipo_P7</vt:lpstr>
      <vt:lpstr>Indices!Títulos_a_imprimir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DBalderramo</cp:lastModifiedBy>
  <cp:lastPrinted>2019-11-15T11:08:21Z</cp:lastPrinted>
  <dcterms:created xsi:type="dcterms:W3CDTF">2016-09-02T20:54:46Z</dcterms:created>
  <dcterms:modified xsi:type="dcterms:W3CDTF">2020-02-18T10:24:53Z</dcterms:modified>
</cp:coreProperties>
</file>